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010" yWindow="-15" windowWidth="15525" windowHeight="8700" activeTab="2"/>
  </bookViews>
  <sheets>
    <sheet name="Q1" sheetId="2" r:id="rId1"/>
    <sheet name="Q2" sheetId="3" r:id="rId2"/>
    <sheet name="Q3" sheetId="4" r:id="rId3"/>
  </sheets>
  <definedNames>
    <definedName name="_xlnm._FilterDatabase" localSheetId="0" hidden="1">'Q1'!$D$3:$F$31</definedName>
    <definedName name="_xlnm.Print_Area" localSheetId="0">'Q1'!$B$2:$BD$31</definedName>
  </definedNames>
  <calcPr calcId="124519" calcMode="autoNoTable"/>
</workbook>
</file>

<file path=xl/calcChain.xml><?xml version="1.0" encoding="utf-8"?>
<calcChain xmlns="http://schemas.openxmlformats.org/spreadsheetml/2006/main">
  <c r="BG29" i="4"/>
  <c r="AW29"/>
  <c r="AU29"/>
  <c r="AT29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AD27"/>
  <c r="BA27"/>
  <c r="BB27"/>
  <c r="S27"/>
  <c r="Y27"/>
  <c r="AM27"/>
  <c r="AL27"/>
  <c r="X27"/>
  <c r="T27"/>
  <c r="AZ27"/>
  <c r="O27"/>
  <c r="G27"/>
  <c r="J27"/>
  <c r="K27"/>
  <c r="N27"/>
  <c r="AS27"/>
  <c r="P27"/>
  <c r="AB27"/>
  <c r="BD27"/>
  <c r="AO27"/>
  <c r="U27"/>
  <c r="H27"/>
  <c r="M27"/>
  <c r="AG27"/>
  <c r="Y25"/>
  <c r="AL25"/>
  <c r="X25"/>
  <c r="BB25"/>
  <c r="N25"/>
  <c r="AD25"/>
  <c r="G25"/>
  <c r="J25"/>
  <c r="H25"/>
  <c r="M25"/>
  <c r="AZ25"/>
  <c r="BA25"/>
  <c r="BD25"/>
  <c r="AM25"/>
  <c r="AG25"/>
  <c r="V23"/>
  <c r="AG23"/>
  <c r="AH23"/>
  <c r="Z23"/>
  <c r="AI23"/>
  <c r="BC23"/>
  <c r="Q23"/>
  <c r="AU23"/>
  <c r="BD23"/>
  <c r="G23"/>
  <c r="AD23"/>
  <c r="H23"/>
  <c r="K23"/>
  <c r="O23"/>
  <c r="N23"/>
  <c r="M23"/>
  <c r="AS23"/>
  <c r="BA23"/>
  <c r="BB23"/>
  <c r="T23"/>
  <c r="AL23"/>
  <c r="AM23"/>
  <c r="Y23"/>
  <c r="U23"/>
  <c r="X23"/>
  <c r="AO23"/>
  <c r="AK23"/>
  <c r="W23"/>
  <c r="I23"/>
  <c r="AL21"/>
  <c r="Q21"/>
  <c r="AH21"/>
  <c r="BF21"/>
  <c r="BA21"/>
  <c r="N21"/>
  <c r="AG21"/>
  <c r="J21"/>
  <c r="H21"/>
  <c r="G21"/>
  <c r="AC21"/>
  <c r="M21"/>
  <c r="O21"/>
  <c r="T21"/>
  <c r="AM21"/>
  <c r="AD21"/>
  <c r="BB21"/>
  <c r="Y21"/>
  <c r="BD21"/>
  <c r="AZ21"/>
  <c r="AI21"/>
  <c r="BE21"/>
  <c r="AS21"/>
  <c r="AU21"/>
  <c r="AE21"/>
  <c r="I21"/>
  <c r="P21"/>
  <c r="Z21"/>
  <c r="X21"/>
  <c r="K21"/>
  <c r="AQ21"/>
  <c r="U21"/>
  <c r="W21"/>
  <c r="S21"/>
  <c r="AI19"/>
  <c r="AQ19"/>
  <c r="AH19"/>
  <c r="AE19"/>
  <c r="H19"/>
  <c r="Q19"/>
  <c r="L19"/>
  <c r="AM19"/>
  <c r="Z19"/>
  <c r="G19"/>
  <c r="M19"/>
  <c r="I19"/>
  <c r="W19"/>
  <c r="AG19"/>
  <c r="N19"/>
  <c r="BA19"/>
  <c r="Y19"/>
  <c r="AL19"/>
  <c r="T19"/>
  <c r="K19"/>
  <c r="P19"/>
  <c r="V19"/>
  <c r="AO19"/>
  <c r="AB19"/>
  <c r="U19"/>
  <c r="BD19"/>
  <c r="BB19"/>
  <c r="AD19"/>
  <c r="O19"/>
  <c r="AZ19"/>
  <c r="AC19"/>
  <c r="BF17"/>
  <c r="AQ17"/>
  <c r="H17"/>
  <c r="V17"/>
  <c r="AH17"/>
  <c r="BA17"/>
  <c r="AM17"/>
  <c r="AO17"/>
  <c r="T17"/>
  <c r="N17"/>
  <c r="U17"/>
  <c r="M17"/>
  <c r="G17"/>
  <c r="Q17"/>
  <c r="Z17"/>
  <c r="I17"/>
  <c r="L17"/>
  <c r="K17"/>
  <c r="AD17"/>
  <c r="P17"/>
  <c r="AL17"/>
  <c r="AG17"/>
  <c r="Y17"/>
  <c r="BC17"/>
  <c r="BC29" s="1"/>
  <c r="AE17"/>
  <c r="X17"/>
  <c r="BB17"/>
  <c r="O17"/>
  <c r="BD17"/>
  <c r="AZ17"/>
  <c r="R15"/>
  <c r="AS15"/>
  <c r="BF15"/>
  <c r="AH15"/>
  <c r="H15"/>
  <c r="L15"/>
  <c r="AI15"/>
  <c r="J15"/>
  <c r="AG15"/>
  <c r="AZ15"/>
  <c r="Z15"/>
  <c r="Y15"/>
  <c r="X15"/>
  <c r="G15"/>
  <c r="BA15"/>
  <c r="K15"/>
  <c r="M15"/>
  <c r="AL15"/>
  <c r="N15"/>
  <c r="P15"/>
  <c r="U15"/>
  <c r="I15"/>
  <c r="BB15"/>
  <c r="O15"/>
  <c r="AB15"/>
  <c r="AJ15"/>
  <c r="AJ29" s="1"/>
  <c r="AQ15"/>
  <c r="AD15"/>
  <c r="T15"/>
  <c r="Q15"/>
  <c r="AO15"/>
  <c r="AE15"/>
  <c r="V15"/>
  <c r="W15"/>
  <c r="U13"/>
  <c r="AQ13"/>
  <c r="AD13"/>
  <c r="AE13"/>
  <c r="H13"/>
  <c r="AB13"/>
  <c r="AI13"/>
  <c r="T13"/>
  <c r="O13"/>
  <c r="BA13"/>
  <c r="V13"/>
  <c r="L13"/>
  <c r="M13"/>
  <c r="Y13"/>
  <c r="Z13"/>
  <c r="BD13"/>
  <c r="X13"/>
  <c r="Q13"/>
  <c r="AL13"/>
  <c r="AM13"/>
  <c r="K13"/>
  <c r="G13"/>
  <c r="BB13"/>
  <c r="AG13"/>
  <c r="AH13"/>
  <c r="AS13"/>
  <c r="N13"/>
  <c r="J13"/>
  <c r="AZ13"/>
  <c r="W13"/>
  <c r="AZ11"/>
  <c r="AH11"/>
  <c r="AK11"/>
  <c r="AO11"/>
  <c r="G11"/>
  <c r="Q11"/>
  <c r="I11"/>
  <c r="H11"/>
  <c r="BF11"/>
  <c r="N11"/>
  <c r="P11"/>
  <c r="O11"/>
  <c r="Y11"/>
  <c r="L11"/>
  <c r="M11"/>
  <c r="AG11"/>
  <c r="AI11"/>
  <c r="BB11"/>
  <c r="AL11"/>
  <c r="V11"/>
  <c r="U11"/>
  <c r="AT11"/>
  <c r="T11"/>
  <c r="AD11"/>
  <c r="AE11"/>
  <c r="K11"/>
  <c r="AW11"/>
  <c r="BA11"/>
  <c r="AQ11"/>
  <c r="Z11"/>
  <c r="S11"/>
  <c r="AC11"/>
  <c r="AM11"/>
  <c r="AS11"/>
  <c r="BE11"/>
  <c r="BD11"/>
  <c r="J11"/>
  <c r="AA11"/>
  <c r="AV11"/>
  <c r="W11"/>
  <c r="X11"/>
  <c r="BB9"/>
  <c r="AV9"/>
  <c r="AB9"/>
  <c r="Q9"/>
  <c r="H9"/>
  <c r="L9"/>
  <c r="AO9"/>
  <c r="T9"/>
  <c r="AX9"/>
  <c r="AP9"/>
  <c r="G9"/>
  <c r="W9"/>
  <c r="I9"/>
  <c r="AK9"/>
  <c r="Y9"/>
  <c r="X9"/>
  <c r="AL9"/>
  <c r="AI9"/>
  <c r="V9"/>
  <c r="P9"/>
  <c r="O9"/>
  <c r="BD9"/>
  <c r="AE9"/>
  <c r="K9"/>
  <c r="AG9"/>
  <c r="AQ9"/>
  <c r="U9"/>
  <c r="M9"/>
  <c r="N9"/>
  <c r="AH9"/>
  <c r="AM9"/>
  <c r="AC9"/>
  <c r="AD9"/>
  <c r="AU9"/>
  <c r="AZ9"/>
  <c r="BA9"/>
  <c r="AS9"/>
  <c r="BE9"/>
  <c r="BF9"/>
  <c r="AA9"/>
  <c r="H7"/>
  <c r="AH7"/>
  <c r="AE7"/>
  <c r="V7"/>
  <c r="G7"/>
  <c r="BA7"/>
  <c r="T7"/>
  <c r="BB7"/>
  <c r="AL7"/>
  <c r="AQ7"/>
  <c r="AA7"/>
  <c r="S7"/>
  <c r="S29" s="1"/>
  <c r="AD7"/>
  <c r="AC7"/>
  <c r="Q7"/>
  <c r="AG7"/>
  <c r="AI7"/>
  <c r="M7"/>
  <c r="K7"/>
  <c r="I7"/>
  <c r="W7"/>
  <c r="L7"/>
  <c r="N7"/>
  <c r="X7"/>
  <c r="U7"/>
  <c r="P7"/>
  <c r="BF7"/>
  <c r="J7"/>
  <c r="Z7"/>
  <c r="Y7"/>
  <c r="O7"/>
  <c r="AZ7"/>
  <c r="AV7"/>
  <c r="AV29" s="1"/>
  <c r="BE7"/>
  <c r="AX7"/>
  <c r="AN29"/>
  <c r="AF29"/>
  <c r="R29"/>
  <c r="AR29"/>
  <c r="AY29"/>
  <c r="AK29" l="1"/>
  <c r="N29"/>
  <c r="AX29"/>
  <c r="I29"/>
  <c r="BB29"/>
  <c r="AZ29"/>
  <c r="Z29"/>
  <c r="U29"/>
  <c r="AL29"/>
  <c r="AS29"/>
  <c r="BD29"/>
  <c r="AG29"/>
  <c r="AB29"/>
  <c r="O29"/>
  <c r="AA29"/>
  <c r="AE29"/>
  <c r="AM29"/>
  <c r="AO29"/>
  <c r="AH29"/>
  <c r="W29"/>
  <c r="BA29"/>
  <c r="P29"/>
  <c r="AC29"/>
  <c r="BF29"/>
  <c r="AP29"/>
  <c r="AQ29"/>
  <c r="H29"/>
  <c r="Q29"/>
  <c r="AI29"/>
  <c r="T29"/>
  <c r="Y29"/>
  <c r="J29"/>
  <c r="BE29"/>
  <c r="X29"/>
  <c r="V29"/>
  <c r="M29"/>
  <c r="L29"/>
  <c r="K29"/>
  <c r="BG7"/>
  <c r="G29"/>
  <c r="V39" i="3"/>
  <c r="S39"/>
  <c r="W39"/>
  <c r="AH39"/>
  <c r="L39"/>
  <c r="AI39"/>
  <c r="AK39"/>
  <c r="BC39"/>
  <c r="Q39"/>
  <c r="H39"/>
  <c r="AJ39"/>
  <c r="AG39"/>
  <c r="I39"/>
  <c r="M39"/>
  <c r="K39"/>
  <c r="AO39"/>
  <c r="N39"/>
  <c r="G39"/>
  <c r="O39"/>
  <c r="AL39"/>
  <c r="T39"/>
  <c r="AX39"/>
  <c r="AD39"/>
  <c r="U39"/>
  <c r="AY39"/>
  <c r="X39"/>
  <c r="Y39"/>
  <c r="BB39"/>
  <c r="AB39"/>
  <c r="AM39"/>
  <c r="P39"/>
  <c r="AW37"/>
  <c r="AR37"/>
  <c r="AX37"/>
  <c r="AM37"/>
  <c r="V37"/>
  <c r="K37"/>
  <c r="W37"/>
  <c r="AQ37"/>
  <c r="AI37"/>
  <c r="L37"/>
  <c r="BB37"/>
  <c r="T37"/>
  <c r="AD37"/>
  <c r="AY37"/>
  <c r="U37"/>
  <c r="X37"/>
  <c r="AS37"/>
  <c r="Q37"/>
  <c r="S37"/>
  <c r="N37"/>
  <c r="BC37"/>
  <c r="Z37"/>
  <c r="AL37"/>
  <c r="AH37"/>
  <c r="AG37"/>
  <c r="O37"/>
  <c r="AC37"/>
  <c r="M37"/>
  <c r="AE37"/>
  <c r="I37"/>
  <c r="G37"/>
  <c r="H37"/>
  <c r="Y37"/>
  <c r="AO37"/>
  <c r="AA37"/>
  <c r="AZ37"/>
  <c r="BA37"/>
  <c r="P33"/>
  <c r="J37"/>
  <c r="V35"/>
  <c r="AH35"/>
  <c r="AY35"/>
  <c r="BC35"/>
  <c r="T35"/>
  <c r="AD35"/>
  <c r="H35"/>
  <c r="AX35"/>
  <c r="AC35"/>
  <c r="AA35"/>
  <c r="AG35"/>
  <c r="AM35"/>
  <c r="S35"/>
  <c r="G35"/>
  <c r="O35"/>
  <c r="Z35"/>
  <c r="J35"/>
  <c r="AZ35"/>
  <c r="K35"/>
  <c r="W35"/>
  <c r="Q35"/>
  <c r="Y35"/>
  <c r="N35"/>
  <c r="AO35"/>
  <c r="AQ35"/>
  <c r="AS35"/>
  <c r="M35"/>
  <c r="AL35"/>
  <c r="U35"/>
  <c r="AE35"/>
  <c r="I35"/>
  <c r="AI35"/>
  <c r="AW35"/>
  <c r="O33"/>
  <c r="Q33"/>
  <c r="M33"/>
  <c r="L33"/>
  <c r="V33"/>
  <c r="AI33"/>
  <c r="Z33"/>
  <c r="N33"/>
  <c r="BC33"/>
  <c r="K33"/>
  <c r="I33"/>
  <c r="J33"/>
  <c r="H33"/>
  <c r="AW33"/>
  <c r="AX33"/>
  <c r="AL33"/>
  <c r="AK33"/>
  <c r="S33"/>
  <c r="AH33"/>
  <c r="U33"/>
  <c r="AM33"/>
  <c r="AY33"/>
  <c r="AG33"/>
  <c r="AD33"/>
  <c r="Y33"/>
  <c r="X33"/>
  <c r="G33"/>
  <c r="T33"/>
  <c r="AJ33"/>
  <c r="AQ33"/>
  <c r="AO33"/>
  <c r="AC33"/>
  <c r="Q31"/>
  <c r="L31"/>
  <c r="AH31"/>
  <c r="X31"/>
  <c r="AX31"/>
  <c r="AQ31"/>
  <c r="V31"/>
  <c r="U31"/>
  <c r="W31"/>
  <c r="AC31"/>
  <c r="AI31"/>
  <c r="AO31"/>
  <c r="AD31"/>
  <c r="K31"/>
  <c r="Z31"/>
  <c r="O31"/>
  <c r="M31"/>
  <c r="AE31"/>
  <c r="T31"/>
  <c r="AM31"/>
  <c r="I31"/>
  <c r="H31"/>
  <c r="BC31"/>
  <c r="AL31"/>
  <c r="S31"/>
  <c r="AG31"/>
  <c r="N31"/>
  <c r="G31"/>
  <c r="BB31"/>
  <c r="Y31"/>
  <c r="AY31"/>
  <c r="AS31"/>
  <c r="J31"/>
  <c r="AL29"/>
  <c r="AO29"/>
  <c r="AH29"/>
  <c r="T29"/>
  <c r="U29"/>
  <c r="Z29"/>
  <c r="BC29"/>
  <c r="L29"/>
  <c r="AX29"/>
  <c r="AR29"/>
  <c r="AY29"/>
  <c r="X29"/>
  <c r="Y29"/>
  <c r="AG29"/>
  <c r="AD29"/>
  <c r="W29"/>
  <c r="I29"/>
  <c r="J29"/>
  <c r="H29"/>
  <c r="N29"/>
  <c r="AE29"/>
  <c r="M29"/>
  <c r="K29"/>
  <c r="G29"/>
  <c r="O29"/>
  <c r="AI29"/>
  <c r="AC29"/>
  <c r="AJ29"/>
  <c r="S29"/>
  <c r="AT29"/>
  <c r="Q29"/>
  <c r="V29"/>
  <c r="AQ29"/>
  <c r="BB29"/>
  <c r="BD42"/>
  <c r="BD41"/>
  <c r="BD40"/>
  <c r="BD38"/>
  <c r="BD36"/>
  <c r="BD34"/>
  <c r="BD32"/>
  <c r="BD30"/>
  <c r="Q27"/>
  <c r="AM27"/>
  <c r="AS27"/>
  <c r="AO27"/>
  <c r="S27"/>
  <c r="AE27"/>
  <c r="BB27"/>
  <c r="BC27"/>
  <c r="N27"/>
  <c r="U27"/>
  <c r="AA27"/>
  <c r="Z27"/>
  <c r="AD27"/>
  <c r="AH27"/>
  <c r="AL27"/>
  <c r="M27"/>
  <c r="AG27"/>
  <c r="T27"/>
  <c r="O27"/>
  <c r="K27"/>
  <c r="J27"/>
  <c r="I27"/>
  <c r="H27"/>
  <c r="G27"/>
  <c r="AI27"/>
  <c r="AZ27"/>
  <c r="W27"/>
  <c r="V27"/>
  <c r="L27"/>
  <c r="P27"/>
  <c r="AC27"/>
  <c r="AQ27"/>
  <c r="AH25"/>
  <c r="Q25"/>
  <c r="W25"/>
  <c r="AL25"/>
  <c r="AO25"/>
  <c r="T25"/>
  <c r="AD25"/>
  <c r="H25"/>
  <c r="M25"/>
  <c r="P25"/>
  <c r="AE25"/>
  <c r="I25"/>
  <c r="U25"/>
  <c r="AG25"/>
  <c r="K25"/>
  <c r="G25"/>
  <c r="AW25"/>
  <c r="AX25"/>
  <c r="AY25"/>
  <c r="Y25"/>
  <c r="X25"/>
  <c r="V25"/>
  <c r="N25"/>
  <c r="AQ25"/>
  <c r="L25"/>
  <c r="AI25"/>
  <c r="S25"/>
  <c r="AT25"/>
  <c r="BC25"/>
  <c r="Z25"/>
  <c r="BB25"/>
  <c r="AM25"/>
  <c r="BD39" l="1"/>
  <c r="BD37"/>
  <c r="BD35"/>
  <c r="BD33"/>
  <c r="BD31"/>
  <c r="BD29"/>
  <c r="O25"/>
  <c r="AC25"/>
  <c r="J25"/>
  <c r="BB23"/>
  <c r="AM23"/>
  <c r="V23"/>
  <c r="S23"/>
  <c r="Y23"/>
  <c r="AI23"/>
  <c r="Z23"/>
  <c r="J23"/>
  <c r="AX23"/>
  <c r="AY23"/>
  <c r="N23"/>
  <c r="Q23"/>
  <c r="AO23"/>
  <c r="T23"/>
  <c r="BC23"/>
  <c r="AE23"/>
  <c r="H23"/>
  <c r="AH23"/>
  <c r="U23"/>
  <c r="AG23"/>
  <c r="K23"/>
  <c r="AL23"/>
  <c r="M23"/>
  <c r="AC23"/>
  <c r="W23"/>
  <c r="O23"/>
  <c r="X23"/>
  <c r="G23"/>
  <c r="I23"/>
  <c r="AS23"/>
  <c r="L23"/>
  <c r="AQ23"/>
  <c r="AD23"/>
  <c r="V21"/>
  <c r="AC21"/>
  <c r="AQ21"/>
  <c r="AM21"/>
  <c r="AA21"/>
  <c r="Z21"/>
  <c r="L21"/>
  <c r="BC21"/>
  <c r="AI21"/>
  <c r="AD21"/>
  <c r="N21"/>
  <c r="H21"/>
  <c r="AO21"/>
  <c r="S21"/>
  <c r="W21"/>
  <c r="AL21"/>
  <c r="U21"/>
  <c r="G21"/>
  <c r="I21"/>
  <c r="T21"/>
  <c r="AH21"/>
  <c r="AG21"/>
  <c r="AX21"/>
  <c r="Y21"/>
  <c r="X21"/>
  <c r="AY21"/>
  <c r="K21"/>
  <c r="Q21"/>
  <c r="M21"/>
  <c r="O21"/>
  <c r="J21"/>
  <c r="T19"/>
  <c r="AM19"/>
  <c r="BB19"/>
  <c r="BC19"/>
  <c r="AD19"/>
  <c r="AC19"/>
  <c r="V19"/>
  <c r="AO19"/>
  <c r="U19"/>
  <c r="AX19"/>
  <c r="AH19"/>
  <c r="S19"/>
  <c r="J19"/>
  <c r="H19"/>
  <c r="AI19"/>
  <c r="AA19"/>
  <c r="Y19"/>
  <c r="L19"/>
  <c r="P19"/>
  <c r="AE19"/>
  <c r="AT19"/>
  <c r="M19"/>
  <c r="AQ19"/>
  <c r="Z19"/>
  <c r="K19"/>
  <c r="AG19"/>
  <c r="X19"/>
  <c r="AL19"/>
  <c r="O19"/>
  <c r="N19"/>
  <c r="Q19"/>
  <c r="I19"/>
  <c r="W19"/>
  <c r="G19"/>
  <c r="T17"/>
  <c r="AD17"/>
  <c r="AW17"/>
  <c r="AX17"/>
  <c r="AY17"/>
  <c r="Q17"/>
  <c r="Y17"/>
  <c r="X17"/>
  <c r="AM17"/>
  <c r="N17"/>
  <c r="L17"/>
  <c r="AH17"/>
  <c r="AL17"/>
  <c r="AI17"/>
  <c r="I17"/>
  <c r="S17"/>
  <c r="H17"/>
  <c r="P17"/>
  <c r="V17"/>
  <c r="AT17"/>
  <c r="Z17"/>
  <c r="M17"/>
  <c r="G17"/>
  <c r="BC17"/>
  <c r="K17"/>
  <c r="AQ17"/>
  <c r="AO17"/>
  <c r="AG17"/>
  <c r="AE17"/>
  <c r="J17"/>
  <c r="W17"/>
  <c r="BB17"/>
  <c r="O17"/>
  <c r="U17"/>
  <c r="AB15"/>
  <c r="AB45" s="1"/>
  <c r="BC15"/>
  <c r="Q15"/>
  <c r="AM15"/>
  <c r="O15"/>
  <c r="AX15"/>
  <c r="AI15"/>
  <c r="W15"/>
  <c r="S15"/>
  <c r="V15"/>
  <c r="R15"/>
  <c r="AY15"/>
  <c r="AS15"/>
  <c r="N15"/>
  <c r="L15"/>
  <c r="G15"/>
  <c r="I15"/>
  <c r="H15"/>
  <c r="AK15"/>
  <c r="Z15"/>
  <c r="M15"/>
  <c r="J15"/>
  <c r="U15"/>
  <c r="Y15"/>
  <c r="AL15"/>
  <c r="T15"/>
  <c r="AG15"/>
  <c r="AH15"/>
  <c r="K15"/>
  <c r="AD15"/>
  <c r="AQ15"/>
  <c r="X15"/>
  <c r="AT15"/>
  <c r="P15"/>
  <c r="BB15"/>
  <c r="AO15"/>
  <c r="AW15"/>
  <c r="AE15"/>
  <c r="AR15"/>
  <c r="AU15"/>
  <c r="AU45" s="1"/>
  <c r="H13"/>
  <c r="AI13"/>
  <c r="V13"/>
  <c r="AQ13"/>
  <c r="G13"/>
  <c r="L13"/>
  <c r="N13"/>
  <c r="S13"/>
  <c r="J13"/>
  <c r="Q13"/>
  <c r="W13"/>
  <c r="BB13"/>
  <c r="T13"/>
  <c r="U13"/>
  <c r="AH13"/>
  <c r="AO13"/>
  <c r="AD13"/>
  <c r="AG13"/>
  <c r="Y13"/>
  <c r="M13"/>
  <c r="K13"/>
  <c r="Z13"/>
  <c r="O13"/>
  <c r="AL13"/>
  <c r="AE13"/>
  <c r="AC13"/>
  <c r="I13"/>
  <c r="BC13"/>
  <c r="AR11"/>
  <c r="S11"/>
  <c r="AV11"/>
  <c r="W11"/>
  <c r="AI11"/>
  <c r="AO11"/>
  <c r="AQ11"/>
  <c r="Q11"/>
  <c r="AC11"/>
  <c r="AE11"/>
  <c r="O11"/>
  <c r="P11"/>
  <c r="T11"/>
  <c r="AA11"/>
  <c r="Z11"/>
  <c r="Y11"/>
  <c r="X11"/>
  <c r="BC11"/>
  <c r="BB11"/>
  <c r="AL11"/>
  <c r="V11"/>
  <c r="U11"/>
  <c r="L11"/>
  <c r="K11"/>
  <c r="AH11"/>
  <c r="AG11"/>
  <c r="N11"/>
  <c r="M11"/>
  <c r="J11"/>
  <c r="I11"/>
  <c r="H11"/>
  <c r="G11"/>
  <c r="AE9"/>
  <c r="AV9"/>
  <c r="AS9"/>
  <c r="T9"/>
  <c r="AM9"/>
  <c r="AL9"/>
  <c r="AD9"/>
  <c r="AY9"/>
  <c r="AC9"/>
  <c r="AO9"/>
  <c r="P9"/>
  <c r="O9"/>
  <c r="Q9"/>
  <c r="AQ9"/>
  <c r="S9"/>
  <c r="BC9"/>
  <c r="BB9"/>
  <c r="AK9"/>
  <c r="AK45" s="1"/>
  <c r="AJ9"/>
  <c r="AJ45" s="1"/>
  <c r="AX9"/>
  <c r="AW9"/>
  <c r="AH9"/>
  <c r="AG9"/>
  <c r="AA9"/>
  <c r="Z9"/>
  <c r="Y9"/>
  <c r="X9"/>
  <c r="N9"/>
  <c r="M9"/>
  <c r="K9"/>
  <c r="J9"/>
  <c r="I9"/>
  <c r="H9"/>
  <c r="G9"/>
  <c r="AI7"/>
  <c r="W7"/>
  <c r="AE7"/>
  <c r="AV7"/>
  <c r="T7"/>
  <c r="AD7"/>
  <c r="AS7"/>
  <c r="AY7"/>
  <c r="AC7"/>
  <c r="AO7"/>
  <c r="P7"/>
  <c r="O7"/>
  <c r="Q7"/>
  <c r="AQ7"/>
  <c r="S7"/>
  <c r="BC7"/>
  <c r="BB7"/>
  <c r="AL7"/>
  <c r="AX7"/>
  <c r="AW7"/>
  <c r="AH7"/>
  <c r="AG7"/>
  <c r="AA7"/>
  <c r="Z7"/>
  <c r="Y7"/>
  <c r="X7"/>
  <c r="V7"/>
  <c r="U7"/>
  <c r="N7"/>
  <c r="M7"/>
  <c r="L7"/>
  <c r="K7"/>
  <c r="J7"/>
  <c r="I7"/>
  <c r="H7"/>
  <c r="G7"/>
  <c r="BA45"/>
  <c r="AZ45"/>
  <c r="AN45"/>
  <c r="BD43"/>
  <c r="BD28"/>
  <c r="BD27"/>
  <c r="BD26"/>
  <c r="BD24"/>
  <c r="BD22"/>
  <c r="BD20"/>
  <c r="BD18"/>
  <c r="BD16"/>
  <c r="BD14"/>
  <c r="AF45"/>
  <c r="R45"/>
  <c r="BD12"/>
  <c r="BD10"/>
  <c r="BD8"/>
  <c r="AP45"/>
  <c r="I13" i="2"/>
  <c r="S29"/>
  <c r="AD29"/>
  <c r="AE29"/>
  <c r="AI29"/>
  <c r="AQ29"/>
  <c r="AX29"/>
  <c r="AW29"/>
  <c r="AY29"/>
  <c r="AO29"/>
  <c r="AC29"/>
  <c r="AA29"/>
  <c r="Z29"/>
  <c r="W29"/>
  <c r="Y29"/>
  <c r="X29"/>
  <c r="V29"/>
  <c r="U29"/>
  <c r="BC29"/>
  <c r="BB29"/>
  <c r="AS29"/>
  <c r="T29"/>
  <c r="AJ29"/>
  <c r="AK29"/>
  <c r="AM29"/>
  <c r="AL29"/>
  <c r="AH29"/>
  <c r="AG29"/>
  <c r="O29"/>
  <c r="P29"/>
  <c r="N29"/>
  <c r="M29"/>
  <c r="K29"/>
  <c r="J29"/>
  <c r="I29"/>
  <c r="H29"/>
  <c r="G29"/>
  <c r="Q29"/>
  <c r="AV27"/>
  <c r="AS27"/>
  <c r="AC27"/>
  <c r="AE27"/>
  <c r="AI27"/>
  <c r="AQ27"/>
  <c r="BC27"/>
  <c r="BB27"/>
  <c r="S27"/>
  <c r="Q27"/>
  <c r="N27"/>
  <c r="M27"/>
  <c r="T27"/>
  <c r="P27"/>
  <c r="O27"/>
  <c r="AO27"/>
  <c r="V27"/>
  <c r="U27"/>
  <c r="AA27"/>
  <c r="Z27"/>
  <c r="W27"/>
  <c r="Y27"/>
  <c r="X27"/>
  <c r="AY27"/>
  <c r="AX27"/>
  <c r="AW27"/>
  <c r="AD27"/>
  <c r="L27"/>
  <c r="K27"/>
  <c r="H27"/>
  <c r="G27"/>
  <c r="J27"/>
  <c r="I27"/>
  <c r="AH27"/>
  <c r="AG27"/>
  <c r="AM27"/>
  <c r="AL27"/>
  <c r="W25"/>
  <c r="AC25"/>
  <c r="AO25"/>
  <c r="AV25"/>
  <c r="AI25"/>
  <c r="AA25"/>
  <c r="Z25"/>
  <c r="AE25"/>
  <c r="BC25"/>
  <c r="AQ25"/>
  <c r="N25"/>
  <c r="M25"/>
  <c r="AL25"/>
  <c r="O25"/>
  <c r="P25"/>
  <c r="Q25"/>
  <c r="T25"/>
  <c r="S25"/>
  <c r="AD25"/>
  <c r="AY25"/>
  <c r="K25"/>
  <c r="I25"/>
  <c r="H25"/>
  <c r="G25"/>
  <c r="AH25"/>
  <c r="AG25"/>
  <c r="V25"/>
  <c r="U25"/>
  <c r="AX25"/>
  <c r="AW25"/>
  <c r="Q23"/>
  <c r="BC23"/>
  <c r="P23"/>
  <c r="S23"/>
  <c r="W23"/>
  <c r="AV23"/>
  <c r="AD23"/>
  <c r="AE23"/>
  <c r="T23"/>
  <c r="AQ23"/>
  <c r="AY23"/>
  <c r="N23"/>
  <c r="M23"/>
  <c r="L23"/>
  <c r="K23"/>
  <c r="J23"/>
  <c r="I23"/>
  <c r="H23"/>
  <c r="G23"/>
  <c r="AJ23"/>
  <c r="AL23"/>
  <c r="AA23"/>
  <c r="AX23"/>
  <c r="AH23"/>
  <c r="AG23"/>
  <c r="V23"/>
  <c r="U23"/>
  <c r="Y23"/>
  <c r="X23"/>
  <c r="AQ21"/>
  <c r="AS21"/>
  <c r="AD21"/>
  <c r="AI21"/>
  <c r="AA21"/>
  <c r="Z21"/>
  <c r="Q21"/>
  <c r="AC21"/>
  <c r="N21"/>
  <c r="M21"/>
  <c r="W21"/>
  <c r="BC21"/>
  <c r="BB21"/>
  <c r="AV21"/>
  <c r="AE21"/>
  <c r="AH21"/>
  <c r="AG21"/>
  <c r="L21"/>
  <c r="K21"/>
  <c r="O21"/>
  <c r="P21"/>
  <c r="AL21"/>
  <c r="S21"/>
  <c r="AY21"/>
  <c r="Y21"/>
  <c r="X21"/>
  <c r="T21"/>
  <c r="J21"/>
  <c r="I21"/>
  <c r="H21"/>
  <c r="G21"/>
  <c r="V21"/>
  <c r="U21"/>
  <c r="AX21"/>
  <c r="AW21"/>
  <c r="AS19"/>
  <c r="AO19"/>
  <c r="AQ19"/>
  <c r="AC19"/>
  <c r="AV19"/>
  <c r="AE19"/>
  <c r="AI19"/>
  <c r="W19"/>
  <c r="AD19"/>
  <c r="S19"/>
  <c r="Q19"/>
  <c r="AY19"/>
  <c r="T19"/>
  <c r="O19"/>
  <c r="P19"/>
  <c r="BC19"/>
  <c r="BB19"/>
  <c r="AX19"/>
  <c r="AW19"/>
  <c r="N19"/>
  <c r="M19"/>
  <c r="AA19"/>
  <c r="Z19"/>
  <c r="Y19"/>
  <c r="X19"/>
  <c r="AL19"/>
  <c r="AH19"/>
  <c r="AG19"/>
  <c r="V19"/>
  <c r="U19"/>
  <c r="L19"/>
  <c r="K19"/>
  <c r="J19"/>
  <c r="I19"/>
  <c r="H19"/>
  <c r="G19"/>
  <c r="AP17"/>
  <c r="AT17"/>
  <c r="AI17"/>
  <c r="AV17"/>
  <c r="S17"/>
  <c r="AE17"/>
  <c r="W17"/>
  <c r="P17"/>
  <c r="AA17"/>
  <c r="N17"/>
  <c r="M17"/>
  <c r="BC17"/>
  <c r="BB17"/>
  <c r="AC17"/>
  <c r="AD17"/>
  <c r="AQ17"/>
  <c r="T17"/>
  <c r="AY17"/>
  <c r="L17"/>
  <c r="K17"/>
  <c r="AH17"/>
  <c r="AG17"/>
  <c r="Y17"/>
  <c r="X17"/>
  <c r="V17"/>
  <c r="U17"/>
  <c r="AL17"/>
  <c r="AX17"/>
  <c r="AW17"/>
  <c r="J17"/>
  <c r="I17"/>
  <c r="H17"/>
  <c r="G17"/>
  <c r="O15"/>
  <c r="P15"/>
  <c r="AC15"/>
  <c r="Q15"/>
  <c r="BC15"/>
  <c r="AQ15"/>
  <c r="AE15"/>
  <c r="T15"/>
  <c r="AI15"/>
  <c r="AD15"/>
  <c r="S15"/>
  <c r="AO15"/>
  <c r="BB15"/>
  <c r="AY15"/>
  <c r="Y15"/>
  <c r="X15"/>
  <c r="W15"/>
  <c r="AV15"/>
  <c r="V15"/>
  <c r="U15"/>
  <c r="L15"/>
  <c r="K15"/>
  <c r="H15"/>
  <c r="G15"/>
  <c r="J15"/>
  <c r="I15"/>
  <c r="AA15"/>
  <c r="Z15"/>
  <c r="AL15"/>
  <c r="AH15"/>
  <c r="AG15"/>
  <c r="N15"/>
  <c r="M15"/>
  <c r="AX15"/>
  <c r="AF13"/>
  <c r="R13"/>
  <c r="AD13"/>
  <c r="AS13"/>
  <c r="AT13"/>
  <c r="Q13"/>
  <c r="AC13"/>
  <c r="W13"/>
  <c r="AO13"/>
  <c r="S13"/>
  <c r="AE13"/>
  <c r="AI13"/>
  <c r="V13"/>
  <c r="U13"/>
  <c r="AA13"/>
  <c r="Z13"/>
  <c r="BC13"/>
  <c r="BB13"/>
  <c r="AX13"/>
  <c r="AY13"/>
  <c r="AV13"/>
  <c r="AM13"/>
  <c r="AL13"/>
  <c r="Y13"/>
  <c r="X13"/>
  <c r="AH13"/>
  <c r="AG13"/>
  <c r="O13"/>
  <c r="P13"/>
  <c r="T13"/>
  <c r="AQ13"/>
  <c r="N13"/>
  <c r="M13"/>
  <c r="L13"/>
  <c r="K13"/>
  <c r="J13"/>
  <c r="H13"/>
  <c r="G13"/>
  <c r="W11"/>
  <c r="AV11"/>
  <c r="BC11"/>
  <c r="BB11"/>
  <c r="AM11"/>
  <c r="AL11"/>
  <c r="AK11"/>
  <c r="AJ11"/>
  <c r="AA11"/>
  <c r="Z11"/>
  <c r="V11"/>
  <c r="U11"/>
  <c r="Y11"/>
  <c r="X11"/>
  <c r="AX11"/>
  <c r="AW11"/>
  <c r="AH11"/>
  <c r="AG11"/>
  <c r="AC11"/>
  <c r="AY11"/>
  <c r="AS11"/>
  <c r="S11"/>
  <c r="Q11"/>
  <c r="AD11"/>
  <c r="O11"/>
  <c r="P11"/>
  <c r="AQ11"/>
  <c r="T11"/>
  <c r="AE11"/>
  <c r="AI11"/>
  <c r="N11"/>
  <c r="M11"/>
  <c r="L11"/>
  <c r="K11"/>
  <c r="J11"/>
  <c r="I11"/>
  <c r="H11"/>
  <c r="G11"/>
  <c r="N7"/>
  <c r="L7"/>
  <c r="BB7"/>
  <c r="AS7"/>
  <c r="Z7"/>
  <c r="AG7"/>
  <c r="I7"/>
  <c r="AQ7"/>
  <c r="AL7"/>
  <c r="AI7"/>
  <c r="V7"/>
  <c r="Q7"/>
  <c r="W7"/>
  <c r="BC7"/>
  <c r="K7"/>
  <c r="M7"/>
  <c r="O7"/>
  <c r="AD7"/>
  <c r="X7"/>
  <c r="AY7"/>
  <c r="U7"/>
  <c r="T7"/>
  <c r="AX7"/>
  <c r="H7"/>
  <c r="J7"/>
  <c r="G7"/>
  <c r="AE7"/>
  <c r="S9"/>
  <c r="Y9"/>
  <c r="AT9"/>
  <c r="V9"/>
  <c r="AQ9"/>
  <c r="AG9"/>
  <c r="AX9"/>
  <c r="AU9"/>
  <c r="AE9"/>
  <c r="Q9"/>
  <c r="AP9"/>
  <c r="T9"/>
  <c r="L9"/>
  <c r="I9"/>
  <c r="U9"/>
  <c r="M9"/>
  <c r="G9"/>
  <c r="AI9"/>
  <c r="W9"/>
  <c r="J9"/>
  <c r="O9"/>
  <c r="K9"/>
  <c r="BB9"/>
  <c r="AA9"/>
  <c r="N9"/>
  <c r="AH9"/>
  <c r="AM9"/>
  <c r="I45" i="3" l="1"/>
  <c r="BD44" s="1"/>
  <c r="AO45"/>
  <c r="AV45"/>
  <c r="O45"/>
  <c r="W45"/>
  <c r="L45"/>
  <c r="V45"/>
  <c r="AA45"/>
  <c r="AS45"/>
  <c r="J45"/>
  <c r="AH45"/>
  <c r="AT45"/>
  <c r="U45"/>
  <c r="AI45"/>
  <c r="S45"/>
  <c r="AR45"/>
  <c r="K45"/>
  <c r="N45"/>
  <c r="AQ45"/>
  <c r="AE45"/>
  <c r="BD25"/>
  <c r="BD23"/>
  <c r="BD21"/>
  <c r="P45"/>
  <c r="Y45"/>
  <c r="Z45"/>
  <c r="BD19"/>
  <c r="T45"/>
  <c r="BD17"/>
  <c r="BC45"/>
  <c r="AW45"/>
  <c r="AM45"/>
  <c r="AY45"/>
  <c r="AX45"/>
  <c r="BD15"/>
  <c r="AL45"/>
  <c r="Q45"/>
  <c r="BD13"/>
  <c r="X45"/>
  <c r="M45"/>
  <c r="BD11"/>
  <c r="AD45"/>
  <c r="AC45"/>
  <c r="BB45"/>
  <c r="AG45"/>
  <c r="BD9"/>
  <c r="H45"/>
  <c r="BD7"/>
  <c r="G45"/>
  <c r="BC9" i="2"/>
  <c r="AD9"/>
  <c r="H9"/>
  <c r="P9"/>
  <c r="AW9"/>
  <c r="AO9"/>
  <c r="AY9"/>
  <c r="AL9"/>
  <c r="AR9"/>
  <c r="X9"/>
  <c r="BD45" i="3" l="1"/>
  <c r="AP7" i="2"/>
  <c r="AO7"/>
  <c r="AU7"/>
  <c r="AT7"/>
  <c r="P7"/>
  <c r="AW7"/>
  <c r="AH7"/>
  <c r="Y7" l="1"/>
  <c r="AA7"/>
  <c r="AM7"/>
  <c r="AV7"/>
  <c r="Y31" l="1"/>
  <c r="AA31"/>
  <c r="AC31"/>
  <c r="V31"/>
  <c r="J31"/>
  <c r="AZ31"/>
  <c r="AX31"/>
  <c r="AU31"/>
  <c r="AN31"/>
  <c r="AK31"/>
  <c r="BD10"/>
  <c r="P31" l="1"/>
  <c r="H31"/>
  <c r="L31"/>
  <c r="X31"/>
  <c r="AH31"/>
  <c r="AL31"/>
  <c r="Z31"/>
  <c r="M31"/>
  <c r="AD31"/>
  <c r="U31"/>
  <c r="AW31"/>
  <c r="BC31"/>
  <c r="T31"/>
  <c r="AY31"/>
  <c r="AS31"/>
  <c r="BB31"/>
  <c r="BA31"/>
  <c r="AV31"/>
  <c r="AR31"/>
  <c r="AP31"/>
  <c r="AO31"/>
  <c r="AJ31"/>
  <c r="AI31"/>
  <c r="AF31"/>
  <c r="AE31"/>
  <c r="AT31"/>
  <c r="S31"/>
  <c r="R31"/>
  <c r="Q31"/>
  <c r="O31"/>
  <c r="AM31" l="1"/>
  <c r="N31"/>
  <c r="AQ31"/>
  <c r="AG31"/>
  <c r="AB31"/>
  <c r="BD13" l="1"/>
  <c r="BD17" l="1"/>
  <c r="BD8"/>
  <c r="BD23"/>
  <c r="BD21"/>
  <c r="BD19"/>
  <c r="BD16"/>
  <c r="BD15"/>
  <c r="BD26" l="1"/>
  <c r="BD20"/>
  <c r="BD29"/>
  <c r="BD27"/>
  <c r="BD24"/>
  <c r="BD22"/>
  <c r="BD25"/>
  <c r="BD28"/>
  <c r="BD12"/>
  <c r="I31" l="1"/>
  <c r="BD14"/>
  <c r="BD18"/>
  <c r="BD11"/>
  <c r="K31"/>
  <c r="G31"/>
  <c r="BD30" s="1"/>
  <c r="BD7" l="1"/>
  <c r="W31"/>
  <c r="BD31" s="1"/>
  <c r="BD9"/>
  <c r="AD29" i="4"/>
</calcChain>
</file>

<file path=xl/comments1.xml><?xml version="1.0" encoding="utf-8"?>
<comments xmlns="http://schemas.openxmlformats.org/spreadsheetml/2006/main">
  <authors>
    <author>FIP</author>
  </authors>
  <commentList>
    <comment ref="G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Merah K / Up
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MERAH B/SETO
</t>
        </r>
      </text>
    </comment>
    <comment ref="K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ANGKOLI
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KERAPU GP
</t>
        </r>
      </text>
    </comment>
    <comment ref="N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KERAPU K</t>
        </r>
      </text>
    </comment>
    <comment ref="O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LENCAM</t>
        </r>
      </text>
    </comment>
    <comment ref="Q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KACI-KACI</t>
        </r>
      </text>
    </comment>
    <comment ref="R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KAKAK TUA
</t>
        </r>
      </text>
    </comment>
    <comment ref="T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ODUL
</t>
        </r>
      </text>
    </comment>
  </commentList>
</comments>
</file>

<file path=xl/comments2.xml><?xml version="1.0" encoding="utf-8"?>
<comments xmlns="http://schemas.openxmlformats.org/spreadsheetml/2006/main">
  <authors>
    <author>FIP</author>
  </authors>
  <commentList>
    <comment ref="G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Merah K / Up
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MERAH B/SETO
</t>
        </r>
      </text>
    </comment>
    <comment ref="K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ANGKOLI
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KERAPU GP
</t>
        </r>
      </text>
    </comment>
    <comment ref="N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KERAPU K</t>
        </r>
      </text>
    </comment>
    <comment ref="O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LENCAM</t>
        </r>
      </text>
    </comment>
    <comment ref="Q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KACI-KACI</t>
        </r>
      </text>
    </comment>
    <comment ref="R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KAKAK TUA
</t>
        </r>
      </text>
    </comment>
    <comment ref="T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ODUL
</t>
        </r>
      </text>
    </comment>
  </commentList>
</comments>
</file>

<file path=xl/comments3.xml><?xml version="1.0" encoding="utf-8"?>
<comments xmlns="http://schemas.openxmlformats.org/spreadsheetml/2006/main">
  <authors>
    <author>FIP</author>
  </authors>
  <commentList>
    <comment ref="G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Merah K / Up
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MERAH B/SETO
</t>
        </r>
      </text>
    </comment>
    <comment ref="K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ANGKOLI
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KERAPU GP
</t>
        </r>
      </text>
    </comment>
    <comment ref="N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KERAPU K</t>
        </r>
      </text>
    </comment>
    <comment ref="O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LENCAM</t>
        </r>
      </text>
    </comment>
    <comment ref="Q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KACI-KACI</t>
        </r>
      </text>
    </comment>
    <comment ref="R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KAKAK TUA
</t>
        </r>
      </text>
    </comment>
    <comment ref="T3" authorId="0">
      <text>
        <r>
          <rPr>
            <b/>
            <sz val="9"/>
            <color indexed="81"/>
            <rFont val="Tahoma"/>
            <family val="2"/>
          </rPr>
          <t>FIP:</t>
        </r>
        <r>
          <rPr>
            <sz val="9"/>
            <color indexed="81"/>
            <rFont val="Tahoma"/>
            <family val="2"/>
          </rPr>
          <t xml:space="preserve">
ODUL
</t>
        </r>
      </text>
    </comment>
  </commentList>
</comments>
</file>

<file path=xl/sharedStrings.xml><?xml version="1.0" encoding="utf-8"?>
<sst xmlns="http://schemas.openxmlformats.org/spreadsheetml/2006/main" count="423" uniqueCount="124">
  <si>
    <t>BONGKAR</t>
  </si>
  <si>
    <t>KPL KOLEKTING</t>
  </si>
  <si>
    <t>KPL TANGKAP</t>
  </si>
  <si>
    <t>TAHUN</t>
  </si>
  <si>
    <t>BLN</t>
  </si>
  <si>
    <t>TGL</t>
  </si>
  <si>
    <t>Malabar</t>
  </si>
  <si>
    <t>Crimson</t>
  </si>
  <si>
    <t>Goldband</t>
  </si>
  <si>
    <t>Grouper 1</t>
  </si>
  <si>
    <t>Grouper 2</t>
  </si>
  <si>
    <t>Emperor</t>
  </si>
  <si>
    <t>Sweetlip</t>
  </si>
  <si>
    <t>Parrotfish</t>
  </si>
  <si>
    <t>(Lutjanus malabaricus)</t>
  </si>
  <si>
    <t xml:space="preserve"> (Lutjanus erythropterus)</t>
  </si>
  <si>
    <t>(Pristipomoides multidens)</t>
  </si>
  <si>
    <t xml:space="preserve">Duskytail grouper </t>
  </si>
  <si>
    <t xml:space="preserve"> (Epinephelus bleekeri)</t>
  </si>
  <si>
    <t>Dot-dash grouper</t>
  </si>
  <si>
    <t xml:space="preserve">CAMPUR </t>
  </si>
  <si>
    <t>CAMPUR BS</t>
  </si>
  <si>
    <t xml:space="preserve">PUTIHAN </t>
  </si>
  <si>
    <t>KARANG</t>
  </si>
  <si>
    <t>TEMBEL</t>
  </si>
  <si>
    <t>(NAMA LATIN)</t>
  </si>
  <si>
    <t>OTEK</t>
  </si>
  <si>
    <t>BULAN</t>
  </si>
  <si>
    <t>HIU</t>
  </si>
  <si>
    <t>KACANG</t>
  </si>
  <si>
    <t>TOTAL PER SPESIES</t>
  </si>
  <si>
    <t>TOTAL PER KAPAL</t>
  </si>
  <si>
    <t>JENAHA</t>
  </si>
  <si>
    <t>COBIA</t>
  </si>
  <si>
    <t>TAULO</t>
  </si>
  <si>
    <t>GULAMA</t>
  </si>
  <si>
    <t>AJA'AN</t>
  </si>
  <si>
    <t>Lethrinus Lentjam</t>
  </si>
  <si>
    <t>Diagramma Labiosum</t>
  </si>
  <si>
    <t>Priacanthidae</t>
  </si>
  <si>
    <t>Pseeudociena Amoyensis</t>
  </si>
  <si>
    <t>Carank Sexfasciatus</t>
  </si>
  <si>
    <t>TONANG</t>
  </si>
  <si>
    <t>Rachycentron canadum</t>
  </si>
  <si>
    <t>HIU PK</t>
  </si>
  <si>
    <t>KRISI</t>
  </si>
  <si>
    <t>KOREA</t>
  </si>
  <si>
    <t>LAYUR</t>
  </si>
  <si>
    <t>MALONG</t>
  </si>
  <si>
    <t>TEROS</t>
  </si>
  <si>
    <t>GUNTUR</t>
  </si>
  <si>
    <t>MENGANTI</t>
  </si>
  <si>
    <t>PADI - PADI</t>
  </si>
  <si>
    <t>2 - UP</t>
  </si>
  <si>
    <t>2 - DOWN</t>
  </si>
  <si>
    <t>2 - DAWN</t>
  </si>
  <si>
    <t>JANUARI</t>
  </si>
  <si>
    <t>KUNIRAN</t>
  </si>
  <si>
    <t>MATA LEBAR</t>
  </si>
  <si>
    <t>KM. TIRTA JAYA BARU 98</t>
  </si>
  <si>
    <t>BATU</t>
  </si>
  <si>
    <t>PERAK</t>
  </si>
  <si>
    <t>LAMADANG</t>
  </si>
  <si>
    <t>Aprion virescens</t>
  </si>
  <si>
    <t>Etelis radiosus</t>
  </si>
  <si>
    <t>( Pristipomoides sieboldii )</t>
  </si>
  <si>
    <t>Lutjanus johnii</t>
  </si>
  <si>
    <t>Lutjanus vitta</t>
  </si>
  <si>
    <t>Liphocheilus carnolabrum</t>
  </si>
  <si>
    <t>Cookeolus japonicus</t>
  </si>
  <si>
    <t>Coryphaena Hippurus</t>
  </si>
  <si>
    <t>Trichiulus Savala</t>
  </si>
  <si>
    <t>KS 2019</t>
  </si>
  <si>
    <t xml:space="preserve">KM. MULIA SAKTI </t>
  </si>
  <si>
    <t>KM. BB 3</t>
  </si>
  <si>
    <t>TENGIRI</t>
  </si>
  <si>
    <t>KM. SANJAYA FISHERINDO</t>
  </si>
  <si>
    <t>KM. SETIA INDAH</t>
  </si>
  <si>
    <t>MARET</t>
  </si>
  <si>
    <t>KM. SINAR CEMERLANG</t>
  </si>
  <si>
    <t>KM. REJEKI LAUT</t>
  </si>
  <si>
    <t>KM. WONDERFULL</t>
  </si>
  <si>
    <t>KM. MAJU BERSAMA JAYA</t>
  </si>
  <si>
    <t>KM. BIMA SAKTI 2</t>
  </si>
  <si>
    <t>KM. MAJU BERSAMA JAYA 2</t>
  </si>
  <si>
    <t>KM. NAPOLI</t>
  </si>
  <si>
    <t>FEBRUARI</t>
  </si>
  <si>
    <t>KM. SAMUDRA INDAH</t>
  </si>
  <si>
    <t>KM. KIM MENG</t>
  </si>
  <si>
    <t>KM. BUMI MAKMUR JAYA</t>
  </si>
  <si>
    <t>KM. BERSAMA NATUNA 2</t>
  </si>
  <si>
    <t>KM. CEMERLANG 12</t>
  </si>
  <si>
    <t>KM. MUTIARA CAHAYA 1</t>
  </si>
  <si>
    <t>APRIL</t>
  </si>
  <si>
    <t>KM. BERSAMA NATUNA 1</t>
  </si>
  <si>
    <t>KM. BINTANG BARU 3</t>
  </si>
  <si>
    <t>KM. MULYA SAKTI</t>
  </si>
  <si>
    <t>KM. HASIL LAUT</t>
  </si>
  <si>
    <t>MEI</t>
  </si>
  <si>
    <t>KM. NAPOLI 1</t>
  </si>
  <si>
    <t>KM. WONDERFUL</t>
  </si>
  <si>
    <t>KM. BIMA SAKTI II</t>
  </si>
  <si>
    <t>KM. BINTANG BARU II</t>
  </si>
  <si>
    <t>KM. CITA INDAH</t>
  </si>
  <si>
    <t>JUNI</t>
  </si>
  <si>
    <t>KM. BINTANG BARU III</t>
  </si>
  <si>
    <t xml:space="preserve"> </t>
  </si>
  <si>
    <t xml:space="preserve">KM. NAPOLI </t>
  </si>
  <si>
    <t>JULI</t>
  </si>
  <si>
    <t>KLENTIK</t>
  </si>
  <si>
    <t>SURO</t>
  </si>
  <si>
    <t>KM. MULIA SAKTI</t>
  </si>
  <si>
    <t>PARI</t>
  </si>
  <si>
    <t>TALANG</t>
  </si>
  <si>
    <t xml:space="preserve">KM. SAMUDRA INDAH </t>
  </si>
  <si>
    <t xml:space="preserve">KM. CITA INDAH </t>
  </si>
  <si>
    <t xml:space="preserve">AGUSTUS </t>
  </si>
  <si>
    <t>KM. LAUTAN INTI MAKMUR</t>
  </si>
  <si>
    <t>KM. BAHTERA NELAYAN</t>
  </si>
  <si>
    <t>KM. KARYA SAMUDRA</t>
  </si>
  <si>
    <t>Scomberomorus</t>
  </si>
  <si>
    <t>charcharhinus longimanus</t>
  </si>
  <si>
    <t>Mobula Mobular</t>
  </si>
  <si>
    <t>Synanceia Verrucosa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</si>
</sst>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11"/>
      <color theme="1"/>
      <name val="Bodoni MT Condensed"/>
      <family val="1"/>
    </font>
    <font>
      <b/>
      <sz val="8"/>
      <color rgb="FF000000"/>
      <name val="Arial"/>
      <family val="2"/>
    </font>
    <font>
      <b/>
      <sz val="12"/>
      <color indexed="8"/>
      <name val="Bodoni MT Condensed"/>
      <family val="1"/>
    </font>
    <font>
      <b/>
      <sz val="11"/>
      <color indexed="8"/>
      <name val="Bodoni MT Condensed"/>
      <family val="1"/>
    </font>
    <font>
      <b/>
      <sz val="11"/>
      <color theme="1"/>
      <name val="Calibri"/>
      <family val="2"/>
      <scheme val="minor"/>
    </font>
    <font>
      <b/>
      <sz val="12"/>
      <color rgb="FF222222"/>
      <name val="Times New Roman"/>
      <family val="1"/>
    </font>
    <font>
      <i/>
      <sz val="11"/>
      <color indexed="8"/>
      <name val="Bodoni MT Condensed"/>
      <family val="1"/>
    </font>
    <font>
      <sz val="11"/>
      <color rgb="FF222222"/>
      <name val="Bodoni MT Condensed"/>
      <family val="1"/>
    </font>
    <font>
      <sz val="11"/>
      <color indexed="8"/>
      <name val="Bodoni MT Condensed"/>
      <family val="1"/>
    </font>
    <font>
      <i/>
      <sz val="11"/>
      <color theme="1"/>
      <name val="Bodoni MT Condensed"/>
      <family val="1"/>
    </font>
    <font>
      <b/>
      <i/>
      <sz val="11"/>
      <color rgb="FFFF0000"/>
      <name val="Bodoni MT Condensed"/>
      <family val="1"/>
    </font>
    <font>
      <i/>
      <sz val="11"/>
      <name val="Bodoni MT Condensed"/>
      <family val="1"/>
    </font>
    <font>
      <i/>
      <sz val="11"/>
      <color rgb="FF222222"/>
      <name val="Bodoni MT Condense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Bodoni MT Condensed"/>
      <family val="1"/>
    </font>
    <font>
      <b/>
      <i/>
      <sz val="11"/>
      <name val="Bodoni MT Condensed"/>
      <family val="1"/>
    </font>
    <font>
      <b/>
      <i/>
      <sz val="11"/>
      <color theme="1"/>
      <name val="Bodoni MT Condensed"/>
      <family val="1"/>
    </font>
    <font>
      <sz val="11"/>
      <color theme="1"/>
      <name val="Calibri"/>
      <family val="2"/>
      <scheme val="minor"/>
    </font>
    <font>
      <b/>
      <i/>
      <sz val="11"/>
      <color indexed="8"/>
      <name val="Bodoni MT Condensed"/>
      <family val="1"/>
    </font>
    <font>
      <b/>
      <sz val="11"/>
      <name val="Bodoni MT Condensed"/>
      <family val="1"/>
    </font>
    <font>
      <b/>
      <sz val="11"/>
      <name val="Calibri"/>
      <family val="2"/>
      <scheme val="minor"/>
    </font>
    <font>
      <b/>
      <sz val="11"/>
      <color rgb="FF222222"/>
      <name val="Times New Roman"/>
      <family val="1"/>
    </font>
    <font>
      <b/>
      <i/>
      <sz val="12"/>
      <color rgb="FF000000"/>
      <name val="Arial"/>
      <family val="2"/>
    </font>
    <font>
      <i/>
      <sz val="9"/>
      <color rgb="FF000000"/>
      <name val="Arial"/>
      <family val="2"/>
    </font>
    <font>
      <sz val="11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4">
    <xf numFmtId="0" fontId="0" fillId="0" borderId="0"/>
    <xf numFmtId="4" fontId="2" fillId="0" borderId="0">
      <alignment horizontal="left" vertical="top"/>
    </xf>
    <xf numFmtId="0" fontId="19" fillId="0" borderId="0"/>
    <xf numFmtId="0" fontId="19" fillId="0" borderId="0"/>
  </cellStyleXfs>
  <cellXfs count="10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3" fillId="2" borderId="0" xfId="0" applyFont="1" applyFill="1"/>
    <xf numFmtId="2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2" fontId="1" fillId="2" borderId="3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6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20" fillId="2" borderId="21" xfId="2" applyFont="1" applyFill="1" applyBorder="1" applyAlignment="1">
      <alignment horizontal="center" vertical="center" wrapText="1"/>
    </xf>
    <xf numFmtId="0" fontId="20" fillId="2" borderId="12" xfId="2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2" borderId="0" xfId="3" applyFont="1" applyFill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2" fontId="23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2" fontId="21" fillId="2" borderId="1" xfId="0" applyNumberFormat="1" applyFont="1" applyFill="1" applyBorder="1" applyAlignment="1">
      <alignment horizontal="right" vertical="center"/>
    </xf>
    <xf numFmtId="2" fontId="21" fillId="2" borderId="3" xfId="0" applyNumberFormat="1" applyFont="1" applyFill="1" applyBorder="1" applyAlignment="1">
      <alignment horizontal="right" vertical="center"/>
    </xf>
    <xf numFmtId="2" fontId="21" fillId="2" borderId="3" xfId="0" applyNumberFormat="1" applyFont="1" applyFill="1" applyBorder="1" applyAlignment="1">
      <alignment horizontal="right" vertical="center" wrapText="1"/>
    </xf>
    <xf numFmtId="2" fontId="22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1" fillId="2" borderId="2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</cellXfs>
  <cellStyles count="4">
    <cellStyle name="Normal" xfId="0" builtinId="0"/>
    <cellStyle name="Normal 3" xfId="3"/>
    <cellStyle name="Normal 4" xfId="2"/>
    <cellStyle name="S6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E419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C36" sqref="C36"/>
    </sheetView>
  </sheetViews>
  <sheetFormatPr defaultRowHeight="15" customHeight="1"/>
  <cols>
    <col min="1" max="1" width="5" style="5" customWidth="1"/>
    <col min="2" max="2" width="15" style="6" customWidth="1"/>
    <col min="3" max="3" width="22.7109375" style="6" customWidth="1"/>
    <col min="4" max="4" width="6" style="6" customWidth="1"/>
    <col min="5" max="5" width="7.5703125" style="6" customWidth="1"/>
    <col min="6" max="6" width="5.28515625" style="6" customWidth="1"/>
    <col min="7" max="7" width="10.5703125" style="5" customWidth="1"/>
    <col min="8" max="8" width="11.140625" style="5" customWidth="1"/>
    <col min="9" max="10" width="11.7109375" style="5" customWidth="1"/>
    <col min="11" max="12" width="10.42578125" style="5" customWidth="1"/>
    <col min="13" max="14" width="11.7109375" style="5" customWidth="1"/>
    <col min="15" max="15" width="9" style="6" customWidth="1"/>
    <col min="16" max="16" width="9" style="25" customWidth="1"/>
    <col min="17" max="17" width="9" style="5" customWidth="1"/>
    <col min="18" max="18" width="9" style="6" customWidth="1"/>
    <col min="19" max="27" width="9" style="5" customWidth="1"/>
    <col min="28" max="28" width="9" style="15" customWidth="1"/>
    <col min="29" max="29" width="9" style="24" customWidth="1"/>
    <col min="30" max="30" width="9" style="15" customWidth="1"/>
    <col min="31" max="34" width="9" style="5" customWidth="1"/>
    <col min="35" max="35" width="9.7109375" style="5" customWidth="1"/>
    <col min="36" max="40" width="9" style="5" customWidth="1"/>
    <col min="41" max="42" width="9" style="11" customWidth="1"/>
    <col min="43" max="43" width="9" style="5" customWidth="1"/>
    <col min="44" max="44" width="9" style="9" customWidth="1"/>
    <col min="45" max="45" width="11.5703125" style="15" customWidth="1"/>
    <col min="46" max="46" width="9" style="9" customWidth="1"/>
    <col min="47" max="47" width="9" style="23" customWidth="1"/>
    <col min="48" max="49" width="9" style="15" customWidth="1"/>
    <col min="50" max="50" width="9" style="18" customWidth="1"/>
    <col min="51" max="52" width="9" style="5" customWidth="1"/>
    <col min="53" max="53" width="9" style="12" customWidth="1"/>
    <col min="54" max="54" width="9" style="5" customWidth="1"/>
    <col min="55" max="55" width="9" style="6" customWidth="1"/>
    <col min="56" max="56" width="20.85546875" style="6" customWidth="1"/>
    <col min="57" max="57" width="7" style="6" customWidth="1"/>
    <col min="58" max="58" width="15" style="6" customWidth="1"/>
    <col min="59" max="59" width="8.7109375" style="6" customWidth="1"/>
    <col min="60" max="16384" width="9.140625" style="6"/>
  </cols>
  <sheetData>
    <row r="1" spans="1:83" s="5" customFormat="1" ht="15" customHeight="1" thickBot="1">
      <c r="G1" s="28"/>
      <c r="W1" s="16"/>
      <c r="X1" s="16"/>
      <c r="Y1" s="16"/>
      <c r="Z1" s="14"/>
      <c r="AA1" s="14"/>
      <c r="AB1" s="14"/>
      <c r="AC1" s="14"/>
      <c r="AD1" s="14"/>
      <c r="AE1" s="14"/>
    </row>
    <row r="2" spans="1:83" ht="15" customHeight="1" thickBot="1">
      <c r="B2" s="1"/>
      <c r="C2" s="3" t="s">
        <v>72</v>
      </c>
      <c r="D2" s="49" t="s">
        <v>0</v>
      </c>
      <c r="E2" s="50"/>
      <c r="F2" s="51"/>
      <c r="G2" s="45"/>
      <c r="H2" s="46"/>
      <c r="I2" s="46"/>
      <c r="J2" s="46"/>
      <c r="K2" s="80"/>
      <c r="L2" s="80"/>
      <c r="M2" s="1"/>
      <c r="N2" s="26"/>
      <c r="O2" s="80"/>
      <c r="P2" s="80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3"/>
      <c r="BC2" s="3"/>
      <c r="BD2" s="3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</row>
    <row r="3" spans="1:83" ht="15" customHeight="1" thickBot="1">
      <c r="B3" s="64" t="s">
        <v>1</v>
      </c>
      <c r="C3" s="64" t="s">
        <v>2</v>
      </c>
      <c r="D3" s="87" t="s">
        <v>3</v>
      </c>
      <c r="E3" s="64" t="s">
        <v>4</v>
      </c>
      <c r="F3" s="87" t="s">
        <v>5</v>
      </c>
      <c r="G3" s="64" t="s">
        <v>6</v>
      </c>
      <c r="H3" s="64"/>
      <c r="I3" s="64" t="s">
        <v>7</v>
      </c>
      <c r="J3" s="64"/>
      <c r="K3" s="64" t="s">
        <v>8</v>
      </c>
      <c r="L3" s="64"/>
      <c r="M3" s="4" t="s">
        <v>9</v>
      </c>
      <c r="N3" s="64" t="s">
        <v>10</v>
      </c>
      <c r="O3" s="58" t="s">
        <v>11</v>
      </c>
      <c r="P3" s="59"/>
      <c r="Q3" s="4" t="s">
        <v>12</v>
      </c>
      <c r="R3" s="4" t="s">
        <v>13</v>
      </c>
      <c r="S3" s="64" t="s">
        <v>32</v>
      </c>
      <c r="T3" s="64" t="s">
        <v>33</v>
      </c>
      <c r="U3" s="58" t="s">
        <v>22</v>
      </c>
      <c r="V3" s="59"/>
      <c r="W3" s="64" t="s">
        <v>23</v>
      </c>
      <c r="X3" s="58" t="s">
        <v>48</v>
      </c>
      <c r="Y3" s="59"/>
      <c r="Z3" s="58" t="s">
        <v>24</v>
      </c>
      <c r="AA3" s="59"/>
      <c r="AB3" s="64" t="s">
        <v>62</v>
      </c>
      <c r="AC3" s="64" t="s">
        <v>51</v>
      </c>
      <c r="AD3" s="64" t="s">
        <v>47</v>
      </c>
      <c r="AE3" s="64" t="s">
        <v>34</v>
      </c>
      <c r="AF3" s="64" t="s">
        <v>57</v>
      </c>
      <c r="AG3" s="58" t="s">
        <v>26</v>
      </c>
      <c r="AH3" s="59"/>
      <c r="AI3" s="64" t="s">
        <v>27</v>
      </c>
      <c r="AJ3" s="58" t="s">
        <v>28</v>
      </c>
      <c r="AK3" s="59"/>
      <c r="AL3" s="58" t="s">
        <v>44</v>
      </c>
      <c r="AM3" s="59"/>
      <c r="AN3" s="64" t="s">
        <v>52</v>
      </c>
      <c r="AO3" s="64" t="s">
        <v>29</v>
      </c>
      <c r="AP3" s="64" t="s">
        <v>61</v>
      </c>
      <c r="AQ3" s="64" t="s">
        <v>35</v>
      </c>
      <c r="AR3" s="64" t="s">
        <v>75</v>
      </c>
      <c r="AS3" s="64" t="s">
        <v>45</v>
      </c>
      <c r="AT3" s="64" t="s">
        <v>60</v>
      </c>
      <c r="AU3" s="64" t="s">
        <v>50</v>
      </c>
      <c r="AV3" s="64" t="s">
        <v>58</v>
      </c>
      <c r="AW3" s="58" t="s">
        <v>46</v>
      </c>
      <c r="AX3" s="59"/>
      <c r="AY3" s="64" t="s">
        <v>36</v>
      </c>
      <c r="AZ3" s="64" t="s">
        <v>49</v>
      </c>
      <c r="BA3" s="64" t="s">
        <v>42</v>
      </c>
      <c r="BB3" s="64" t="s">
        <v>20</v>
      </c>
      <c r="BC3" s="64" t="s">
        <v>21</v>
      </c>
      <c r="BD3" s="64" t="s">
        <v>31</v>
      </c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</row>
    <row r="4" spans="1:83" ht="14.25" customHeight="1" thickTop="1" thickBot="1">
      <c r="B4" s="65"/>
      <c r="C4" s="65"/>
      <c r="D4" s="88"/>
      <c r="E4" s="65"/>
      <c r="F4" s="88"/>
      <c r="G4" s="75" t="s">
        <v>14</v>
      </c>
      <c r="H4" s="76"/>
      <c r="I4" s="75" t="s">
        <v>15</v>
      </c>
      <c r="J4" s="76"/>
      <c r="K4" s="75" t="s">
        <v>16</v>
      </c>
      <c r="L4" s="76"/>
      <c r="M4" s="8" t="s">
        <v>17</v>
      </c>
      <c r="N4" s="83"/>
      <c r="O4" s="77" t="s">
        <v>37</v>
      </c>
      <c r="P4" s="78"/>
      <c r="Q4" s="73" t="s">
        <v>38</v>
      </c>
      <c r="R4" s="73" t="s">
        <v>13</v>
      </c>
      <c r="S4" s="65"/>
      <c r="T4" s="65"/>
      <c r="U4" s="70" t="s">
        <v>41</v>
      </c>
      <c r="V4" s="71"/>
      <c r="W4" s="65"/>
      <c r="X4" s="60" t="s">
        <v>25</v>
      </c>
      <c r="Y4" s="61"/>
      <c r="Z4" s="60" t="s">
        <v>25</v>
      </c>
      <c r="AA4" s="61"/>
      <c r="AB4" s="65"/>
      <c r="AC4" s="65"/>
      <c r="AD4" s="65"/>
      <c r="AE4" s="65"/>
      <c r="AF4" s="65"/>
      <c r="AG4" s="60" t="s">
        <v>25</v>
      </c>
      <c r="AH4" s="61"/>
      <c r="AI4" s="65"/>
      <c r="AJ4" s="60" t="s">
        <v>25</v>
      </c>
      <c r="AK4" s="61"/>
      <c r="AL4" s="60" t="s">
        <v>25</v>
      </c>
      <c r="AM4" s="61"/>
      <c r="AN4" s="65"/>
      <c r="AO4" s="65"/>
      <c r="AP4" s="65"/>
      <c r="AQ4" s="65"/>
      <c r="AR4" s="65"/>
      <c r="AS4" s="65"/>
      <c r="AT4" s="65"/>
      <c r="AU4" s="65"/>
      <c r="AV4" s="65"/>
      <c r="AW4" s="60" t="s">
        <v>25</v>
      </c>
      <c r="AX4" s="61"/>
      <c r="AY4" s="65"/>
      <c r="AZ4" s="65"/>
      <c r="BA4" s="65"/>
      <c r="BB4" s="65"/>
      <c r="BC4" s="65"/>
      <c r="BD4" s="6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</row>
    <row r="5" spans="1:83" ht="14.25" customHeight="1" thickTop="1">
      <c r="B5" s="65"/>
      <c r="C5" s="65"/>
      <c r="D5" s="88"/>
      <c r="E5" s="65"/>
      <c r="F5" s="88"/>
      <c r="G5" s="79" t="s">
        <v>53</v>
      </c>
      <c r="H5" s="66" t="s">
        <v>54</v>
      </c>
      <c r="I5" s="79" t="s">
        <v>53</v>
      </c>
      <c r="J5" s="66" t="s">
        <v>54</v>
      </c>
      <c r="K5" s="79" t="s">
        <v>53</v>
      </c>
      <c r="L5" s="66" t="s">
        <v>54</v>
      </c>
      <c r="M5" s="73" t="s">
        <v>18</v>
      </c>
      <c r="N5" s="81" t="s">
        <v>19</v>
      </c>
      <c r="O5" s="66" t="s">
        <v>53</v>
      </c>
      <c r="P5" s="66" t="s">
        <v>55</v>
      </c>
      <c r="Q5" s="73"/>
      <c r="R5" s="73"/>
      <c r="S5" s="68" t="s">
        <v>66</v>
      </c>
      <c r="T5" s="68" t="s">
        <v>43</v>
      </c>
      <c r="U5" s="66" t="s">
        <v>53</v>
      </c>
      <c r="V5" s="66" t="s">
        <v>55</v>
      </c>
      <c r="W5" s="56" t="s">
        <v>25</v>
      </c>
      <c r="X5" s="66" t="s">
        <v>53</v>
      </c>
      <c r="Y5" s="66" t="s">
        <v>55</v>
      </c>
      <c r="Z5" s="66" t="s">
        <v>53</v>
      </c>
      <c r="AA5" s="66" t="s">
        <v>55</v>
      </c>
      <c r="AB5" s="68" t="s">
        <v>70</v>
      </c>
      <c r="AC5" s="56" t="s">
        <v>25</v>
      </c>
      <c r="AD5" s="68" t="s">
        <v>71</v>
      </c>
      <c r="AE5" s="56" t="s">
        <v>25</v>
      </c>
      <c r="AF5" s="68" t="s">
        <v>67</v>
      </c>
      <c r="AG5" s="62" t="s">
        <v>53</v>
      </c>
      <c r="AH5" s="62" t="s">
        <v>55</v>
      </c>
      <c r="AI5" s="68" t="s">
        <v>39</v>
      </c>
      <c r="AJ5" s="62" t="s">
        <v>53</v>
      </c>
      <c r="AK5" s="62" t="s">
        <v>55</v>
      </c>
      <c r="AL5" s="62" t="s">
        <v>53</v>
      </c>
      <c r="AM5" s="62" t="s">
        <v>55</v>
      </c>
      <c r="AN5" s="68" t="s">
        <v>68</v>
      </c>
      <c r="AO5" s="56" t="s">
        <v>25</v>
      </c>
      <c r="AP5" s="68" t="s">
        <v>64</v>
      </c>
      <c r="AQ5" s="68" t="s">
        <v>40</v>
      </c>
      <c r="AR5" s="56" t="s">
        <v>25</v>
      </c>
      <c r="AS5" s="68" t="s">
        <v>65</v>
      </c>
      <c r="AT5" s="56" t="s">
        <v>25</v>
      </c>
      <c r="AU5" s="68" t="s">
        <v>63</v>
      </c>
      <c r="AV5" s="68" t="s">
        <v>69</v>
      </c>
      <c r="AW5" s="62" t="s">
        <v>53</v>
      </c>
      <c r="AX5" s="62" t="s">
        <v>55</v>
      </c>
      <c r="AY5" s="56" t="s">
        <v>25</v>
      </c>
      <c r="AZ5" s="56" t="s">
        <v>25</v>
      </c>
      <c r="BA5" s="56" t="s">
        <v>25</v>
      </c>
      <c r="BB5" s="65"/>
      <c r="BC5" s="65"/>
      <c r="BD5" s="6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</row>
    <row r="6" spans="1:83" s="7" customFormat="1" ht="15.75" customHeight="1" thickBot="1">
      <c r="A6" s="5"/>
      <c r="B6" s="72"/>
      <c r="C6" s="72"/>
      <c r="D6" s="89"/>
      <c r="E6" s="72"/>
      <c r="F6" s="89"/>
      <c r="G6" s="67"/>
      <c r="H6" s="67"/>
      <c r="I6" s="67"/>
      <c r="J6" s="67"/>
      <c r="K6" s="67"/>
      <c r="L6" s="67"/>
      <c r="M6" s="74"/>
      <c r="N6" s="82"/>
      <c r="O6" s="67"/>
      <c r="P6" s="67"/>
      <c r="Q6" s="74"/>
      <c r="R6" s="74"/>
      <c r="S6" s="69"/>
      <c r="T6" s="69"/>
      <c r="U6" s="67"/>
      <c r="V6" s="67"/>
      <c r="W6" s="57"/>
      <c r="X6" s="67"/>
      <c r="Y6" s="67"/>
      <c r="Z6" s="67"/>
      <c r="AA6" s="67"/>
      <c r="AB6" s="69"/>
      <c r="AC6" s="57"/>
      <c r="AD6" s="69"/>
      <c r="AE6" s="57"/>
      <c r="AF6" s="69"/>
      <c r="AG6" s="63"/>
      <c r="AH6" s="63"/>
      <c r="AI6" s="69"/>
      <c r="AJ6" s="63"/>
      <c r="AK6" s="63"/>
      <c r="AL6" s="63"/>
      <c r="AM6" s="63"/>
      <c r="AN6" s="69"/>
      <c r="AO6" s="57"/>
      <c r="AP6" s="69"/>
      <c r="AQ6" s="69"/>
      <c r="AR6" s="57"/>
      <c r="AS6" s="69"/>
      <c r="AT6" s="57"/>
      <c r="AU6" s="69"/>
      <c r="AV6" s="69"/>
      <c r="AW6" s="63"/>
      <c r="AX6" s="63"/>
      <c r="AY6" s="57"/>
      <c r="AZ6" s="57"/>
      <c r="BA6" s="57"/>
      <c r="BB6" s="72"/>
      <c r="BC6" s="72"/>
      <c r="BD6" s="72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s="5" customFormat="1" ht="15" customHeight="1">
      <c r="B7" s="91" t="s">
        <v>59</v>
      </c>
      <c r="C7" s="90" t="s">
        <v>73</v>
      </c>
      <c r="D7" s="90">
        <v>2019</v>
      </c>
      <c r="E7" s="90" t="s">
        <v>56</v>
      </c>
      <c r="F7" s="92">
        <v>2</v>
      </c>
      <c r="G7" s="19">
        <f>156+28.5+686.5+290+2.5+134</f>
        <v>1297.5</v>
      </c>
      <c r="H7" s="19">
        <f>22.5+192.5+23+12+16+16</f>
        <v>282</v>
      </c>
      <c r="I7" s="19">
        <f>381.5+6.5+105.5+170+75.5+40+133+213.5+102.5+11</f>
        <v>1239</v>
      </c>
      <c r="J7" s="19">
        <f>20.5+93.5</f>
        <v>114</v>
      </c>
      <c r="K7" s="19">
        <f>2949.5+150+523+1073+924+475</f>
        <v>6094.5</v>
      </c>
      <c r="L7" s="19">
        <f>158+144.5+60+12+12.5+31.5+76.5+40+44.5+33.5</f>
        <v>613</v>
      </c>
      <c r="M7" s="19">
        <f>1104+65+293.5+270.5+130.5</f>
        <v>1863.5</v>
      </c>
      <c r="N7" s="19">
        <f>378.5+80+169+111</f>
        <v>738.5</v>
      </c>
      <c r="O7" s="19">
        <f>256.5+81.5</f>
        <v>338</v>
      </c>
      <c r="P7" s="19">
        <f>85.5+135.5</f>
        <v>221</v>
      </c>
      <c r="Q7" s="19">
        <f>28.5+37+160+8.5+61</f>
        <v>295</v>
      </c>
      <c r="R7" s="19"/>
      <c r="S7" s="19"/>
      <c r="T7" s="19">
        <f>18+18+13+32.5</f>
        <v>81.5</v>
      </c>
      <c r="U7" s="19">
        <f>114+25+96.5+46+55+58.5</f>
        <v>395</v>
      </c>
      <c r="V7" s="19">
        <f>42+20.5+6+11.5+2+11+16+20.5+6+33</f>
        <v>168.5</v>
      </c>
      <c r="W7" s="19">
        <f>54+10.5+12.5+12</f>
        <v>89</v>
      </c>
      <c r="X7" s="19">
        <f>477+918+2673+231+605+572.5</f>
        <v>5476.5</v>
      </c>
      <c r="Y7" s="19">
        <f>8.5</f>
        <v>8.5</v>
      </c>
      <c r="Z7" s="19">
        <f>5+22.5</f>
        <v>27.5</v>
      </c>
      <c r="AA7" s="19">
        <f>4.5</f>
        <v>4.5</v>
      </c>
      <c r="AB7" s="19"/>
      <c r="AC7" s="19"/>
      <c r="AD7" s="19">
        <f>79+93+102.5+45+210.5</f>
        <v>530</v>
      </c>
      <c r="AE7" s="19">
        <f>1.5+28</f>
        <v>29.5</v>
      </c>
      <c r="AF7" s="19"/>
      <c r="AG7" s="19">
        <f>1266+56.5+5.5+1090.5+379.5+58.5+189+154+84.5+201.5+54</f>
        <v>3539.5</v>
      </c>
      <c r="AH7" s="19">
        <f>396+53+8.5+28</f>
        <v>485.5</v>
      </c>
      <c r="AI7" s="19">
        <f>71+27+30.5</f>
        <v>128.5</v>
      </c>
      <c r="AJ7" s="19"/>
      <c r="AK7" s="19"/>
      <c r="AL7" s="19">
        <f>1046+28.5+85.5+107.5+198.5+56.5</f>
        <v>1522.5</v>
      </c>
      <c r="AM7" s="19">
        <f>9</f>
        <v>9</v>
      </c>
      <c r="AN7" s="19"/>
      <c r="AO7" s="19">
        <f>28.5+14</f>
        <v>42.5</v>
      </c>
      <c r="AP7" s="19">
        <f>3.5</f>
        <v>3.5</v>
      </c>
      <c r="AQ7" s="19">
        <f>36.5+17.5+59</f>
        <v>113</v>
      </c>
      <c r="AR7" s="19"/>
      <c r="AS7" s="19">
        <f>26+52</f>
        <v>78</v>
      </c>
      <c r="AT7" s="19">
        <f>53+37.5</f>
        <v>90.5</v>
      </c>
      <c r="AU7" s="19">
        <f>18+10+6</f>
        <v>34</v>
      </c>
      <c r="AV7" s="19">
        <f>176</f>
        <v>176</v>
      </c>
      <c r="AW7" s="19">
        <f>75.5+18+27.5+19</f>
        <v>140</v>
      </c>
      <c r="AX7" s="19">
        <f>13+3608+868.5+210+34+195.5+55.5+3412+1198+98.5+1513+33+501.5+796.5+1162.5+543+69+344.5</f>
        <v>14656</v>
      </c>
      <c r="AY7" s="19">
        <f>365+66.5+115.5+19+21+23</f>
        <v>610</v>
      </c>
      <c r="AZ7" s="19"/>
      <c r="BA7" s="19"/>
      <c r="BB7" s="19">
        <f>49.5+43.5+27.5+34</f>
        <v>154.5</v>
      </c>
      <c r="BC7" s="19">
        <f>10+18.5</f>
        <v>28.5</v>
      </c>
      <c r="BD7" s="19">
        <f t="shared" ref="BD7:BD31" si="0">SUM(G7:BC7)</f>
        <v>41718</v>
      </c>
      <c r="BE7" s="10"/>
    </row>
    <row r="8" spans="1:83" s="13" customFormat="1" ht="15" customHeight="1">
      <c r="A8" s="5"/>
      <c r="B8" s="48"/>
      <c r="C8" s="53"/>
      <c r="D8" s="53"/>
      <c r="E8" s="53"/>
      <c r="F8" s="93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20"/>
      <c r="BB8" s="19"/>
      <c r="BC8" s="19"/>
      <c r="BD8" s="19">
        <f t="shared" si="0"/>
        <v>0</v>
      </c>
      <c r="BE8" s="10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</row>
    <row r="9" spans="1:83" s="5" customFormat="1" ht="15" customHeight="1">
      <c r="B9" s="47" t="s">
        <v>59</v>
      </c>
      <c r="C9" s="52" t="s">
        <v>74</v>
      </c>
      <c r="D9" s="52">
        <v>2019</v>
      </c>
      <c r="E9" s="52" t="s">
        <v>56</v>
      </c>
      <c r="F9" s="54">
        <v>4</v>
      </c>
      <c r="G9" s="20">
        <f>144.5+40+490.5+462.5+220.5+443+768.5+78.5+194.5+112+59</f>
        <v>3013.5</v>
      </c>
      <c r="H9" s="20">
        <f>20.5+14.5+278+36+115+15+33.5</f>
        <v>512.5</v>
      </c>
      <c r="I9" s="20">
        <f>207+55+190+29+377+65+34.5+498.5+176+454.5+54.5+200</f>
        <v>2341</v>
      </c>
      <c r="J9" s="20">
        <f>57+25.5+177.5+168.5+7</f>
        <v>435.5</v>
      </c>
      <c r="K9" s="20">
        <f>3988+136+21.5+2083.5+4210.5+2835.5</f>
        <v>13275</v>
      </c>
      <c r="L9" s="20">
        <f>161.5+43+60.5+186.5+63</f>
        <v>514.5</v>
      </c>
      <c r="M9" s="20">
        <f>846+178+48+527.5+967.5+460</f>
        <v>3027</v>
      </c>
      <c r="N9" s="20">
        <f>7.5+269+17+551</f>
        <v>844.5</v>
      </c>
      <c r="O9" s="19">
        <f>589+538+534.5</f>
        <v>1661.5</v>
      </c>
      <c r="P9" s="19">
        <f>14+20.5+383.5</f>
        <v>418</v>
      </c>
      <c r="Q9" s="20">
        <f>83.5+148+117+21.5</f>
        <v>370</v>
      </c>
      <c r="R9" s="19"/>
      <c r="S9" s="19">
        <f>4+5.5</f>
        <v>9.5</v>
      </c>
      <c r="T9" s="19">
        <f>33+76.5+43.5+17.5+27</f>
        <v>197.5</v>
      </c>
      <c r="U9" s="19">
        <f>265+916+924.5+1229+106.5+75</f>
        <v>3516</v>
      </c>
      <c r="V9" s="19">
        <f>64.5+19+34.5+13.5+69+46+16+13.5+52+8+6+9.5+76.5+71.5+36.5+2.5</f>
        <v>538.5</v>
      </c>
      <c r="W9" s="19">
        <f>91+86.5+9+84.5+180.5+112.5</f>
        <v>564</v>
      </c>
      <c r="X9" s="19">
        <f>1107+1154.5+373.5</f>
        <v>2635</v>
      </c>
      <c r="Y9" s="19">
        <f>128+15+7.5</f>
        <v>150.5</v>
      </c>
      <c r="Z9" s="19"/>
      <c r="AA9" s="19">
        <f>9.5+11+108.5</f>
        <v>129</v>
      </c>
      <c r="AB9" s="19"/>
      <c r="AC9" s="19"/>
      <c r="AD9" s="19">
        <f>20+701+38+49+13</f>
        <v>821</v>
      </c>
      <c r="AE9" s="19">
        <f>10.5+39.5+4.5</f>
        <v>54.5</v>
      </c>
      <c r="AF9" s="19"/>
      <c r="AG9" s="19">
        <f>1204.5+1093.5+126+80+909+2132+241.5+27+6</f>
        <v>5819.5</v>
      </c>
      <c r="AH9" s="19">
        <f>903+21.5+9</f>
        <v>933.5</v>
      </c>
      <c r="AI9" s="19">
        <f>14+14+60</f>
        <v>88</v>
      </c>
      <c r="AJ9" s="19"/>
      <c r="AK9" s="19"/>
      <c r="AL9" s="19">
        <f>44+113+175+322</f>
        <v>654</v>
      </c>
      <c r="AM9" s="19">
        <f>4.5</f>
        <v>4.5</v>
      </c>
      <c r="AN9" s="19"/>
      <c r="AO9" s="19">
        <f>4</f>
        <v>4</v>
      </c>
      <c r="AP9" s="19">
        <f>13.5</f>
        <v>13.5</v>
      </c>
      <c r="AQ9" s="19">
        <f>149+7.5+37+4</f>
        <v>197.5</v>
      </c>
      <c r="AR9" s="19">
        <f>9.5</f>
        <v>9.5</v>
      </c>
      <c r="AS9" s="19"/>
      <c r="AT9" s="19">
        <f>19.5+22.5</f>
        <v>42</v>
      </c>
      <c r="AU9" s="19">
        <f>7</f>
        <v>7</v>
      </c>
      <c r="AV9" s="19"/>
      <c r="AW9" s="19">
        <f>136+36+6</f>
        <v>178</v>
      </c>
      <c r="AX9" s="19">
        <f>1499.5+424+39.5+57+874.5+178.5+23+94.5+921+730.5+51.5+36</f>
        <v>4929.5</v>
      </c>
      <c r="AY9" s="19">
        <f>10+7.5</f>
        <v>17.5</v>
      </c>
      <c r="AZ9" s="19"/>
      <c r="BA9" s="20"/>
      <c r="BB9" s="19">
        <f>36+21.5+102</f>
        <v>159.5</v>
      </c>
      <c r="BC9" s="19">
        <f>12+27.5+22.5+13.5+23.5</f>
        <v>99</v>
      </c>
      <c r="BD9" s="19">
        <f t="shared" si="0"/>
        <v>48185</v>
      </c>
    </row>
    <row r="10" spans="1:83" s="5" customFormat="1" ht="15" customHeight="1">
      <c r="B10" s="48"/>
      <c r="C10" s="53"/>
      <c r="D10" s="53"/>
      <c r="E10" s="53"/>
      <c r="F10" s="55"/>
      <c r="G10" s="20"/>
      <c r="H10" s="20"/>
      <c r="I10" s="20"/>
      <c r="J10" s="20"/>
      <c r="K10" s="20"/>
      <c r="L10" s="20"/>
      <c r="M10" s="20"/>
      <c r="N10" s="20"/>
      <c r="O10" s="19"/>
      <c r="P10" s="19"/>
      <c r="Q10" s="20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20"/>
      <c r="BB10" s="19"/>
      <c r="BC10" s="19"/>
      <c r="BD10" s="19">
        <f t="shared" si="0"/>
        <v>0</v>
      </c>
    </row>
    <row r="11" spans="1:83" s="5" customFormat="1" ht="15" customHeight="1">
      <c r="B11" s="47" t="s">
        <v>76</v>
      </c>
      <c r="C11" s="52" t="s">
        <v>77</v>
      </c>
      <c r="D11" s="52">
        <v>2019</v>
      </c>
      <c r="E11" s="52" t="s">
        <v>78</v>
      </c>
      <c r="F11" s="54">
        <v>21</v>
      </c>
      <c r="G11" s="20">
        <f>1933</f>
        <v>1933</v>
      </c>
      <c r="H11" s="20">
        <f>552</f>
        <v>552</v>
      </c>
      <c r="I11" s="20">
        <f>627</f>
        <v>627</v>
      </c>
      <c r="J11" s="20">
        <f>6</f>
        <v>6</v>
      </c>
      <c r="K11" s="20">
        <f>1166</f>
        <v>1166</v>
      </c>
      <c r="L11" s="20">
        <f>15</f>
        <v>15</v>
      </c>
      <c r="M11" s="20">
        <f>646</f>
        <v>646</v>
      </c>
      <c r="N11" s="20">
        <f>146.5</f>
        <v>146.5</v>
      </c>
      <c r="O11" s="19">
        <f>2011.5</f>
        <v>2011.5</v>
      </c>
      <c r="P11" s="19">
        <f>1231</f>
        <v>1231</v>
      </c>
      <c r="Q11" s="20">
        <f>127</f>
        <v>127</v>
      </c>
      <c r="R11" s="19"/>
      <c r="S11" s="19">
        <f>101</f>
        <v>101</v>
      </c>
      <c r="T11" s="19">
        <f>357.5</f>
        <v>357.5</v>
      </c>
      <c r="U11" s="19">
        <f>439</f>
        <v>439</v>
      </c>
      <c r="V11" s="19">
        <f>335.5</f>
        <v>335.5</v>
      </c>
      <c r="W11" s="19">
        <f>11.5</f>
        <v>11.5</v>
      </c>
      <c r="X11" s="19">
        <f>2660.5</f>
        <v>2660.5</v>
      </c>
      <c r="Y11" s="19">
        <f>632.5</f>
        <v>632.5</v>
      </c>
      <c r="Z11" s="19">
        <f>94</f>
        <v>94</v>
      </c>
      <c r="AA11" s="19">
        <f>316</f>
        <v>316</v>
      </c>
      <c r="AB11" s="19"/>
      <c r="AC11" s="19">
        <f>272.5</f>
        <v>272.5</v>
      </c>
      <c r="AD11" s="19">
        <f>504</f>
        <v>504</v>
      </c>
      <c r="AE11" s="19">
        <f>21</f>
        <v>21</v>
      </c>
      <c r="AF11" s="19"/>
      <c r="AG11" s="19">
        <f>2987</f>
        <v>2987</v>
      </c>
      <c r="AH11" s="19">
        <f>741</f>
        <v>741</v>
      </c>
      <c r="AI11" s="19">
        <f>36</f>
        <v>36</v>
      </c>
      <c r="AJ11" s="19">
        <f>668</f>
        <v>668</v>
      </c>
      <c r="AK11" s="19">
        <f>103.5</f>
        <v>103.5</v>
      </c>
      <c r="AL11" s="19">
        <f>8.5</f>
        <v>8.5</v>
      </c>
      <c r="AM11" s="19">
        <f>4.5</f>
        <v>4.5</v>
      </c>
      <c r="AN11" s="19"/>
      <c r="AO11" s="19"/>
      <c r="AP11" s="19"/>
      <c r="AQ11" s="19">
        <f>17</f>
        <v>17</v>
      </c>
      <c r="AR11" s="19"/>
      <c r="AS11" s="19">
        <f>1171</f>
        <v>1171</v>
      </c>
      <c r="AT11" s="19"/>
      <c r="AU11" s="19"/>
      <c r="AV11" s="19">
        <f>12.5</f>
        <v>12.5</v>
      </c>
      <c r="AW11" s="19">
        <f>2</f>
        <v>2</v>
      </c>
      <c r="AX11" s="19">
        <f>3901.5+2244+456</f>
        <v>6601.5</v>
      </c>
      <c r="AY11" s="19">
        <f>1182</f>
        <v>1182</v>
      </c>
      <c r="AZ11" s="19"/>
      <c r="BA11" s="20"/>
      <c r="BB11" s="19">
        <f>158</f>
        <v>158</v>
      </c>
      <c r="BC11" s="19">
        <f>182</f>
        <v>182</v>
      </c>
      <c r="BD11" s="19">
        <f t="shared" si="0"/>
        <v>28080.5</v>
      </c>
      <c r="BE11" s="10"/>
    </row>
    <row r="12" spans="1:83" s="5" customFormat="1" ht="15" customHeight="1">
      <c r="B12" s="48"/>
      <c r="C12" s="53"/>
      <c r="D12" s="53"/>
      <c r="E12" s="53"/>
      <c r="F12" s="55"/>
      <c r="G12" s="20"/>
      <c r="H12" s="20"/>
      <c r="I12" s="20"/>
      <c r="J12" s="20"/>
      <c r="K12" s="20"/>
      <c r="L12" s="20"/>
      <c r="M12" s="20"/>
      <c r="N12" s="20"/>
      <c r="O12" s="19"/>
      <c r="P12" s="19"/>
      <c r="Q12" s="20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20"/>
      <c r="BB12" s="19"/>
      <c r="BC12" s="19"/>
      <c r="BD12" s="19">
        <f t="shared" si="0"/>
        <v>0</v>
      </c>
    </row>
    <row r="13" spans="1:83" s="5" customFormat="1" ht="15" customHeight="1">
      <c r="B13" s="47" t="s">
        <v>76</v>
      </c>
      <c r="C13" s="52" t="s">
        <v>79</v>
      </c>
      <c r="D13" s="52">
        <v>2019</v>
      </c>
      <c r="E13" s="47" t="s">
        <v>78</v>
      </c>
      <c r="F13" s="52">
        <v>21</v>
      </c>
      <c r="G13" s="20">
        <f>3038</f>
        <v>3038</v>
      </c>
      <c r="H13" s="20">
        <f>932.5</f>
        <v>932.5</v>
      </c>
      <c r="I13" s="20">
        <f>686</f>
        <v>686</v>
      </c>
      <c r="J13" s="20">
        <f>18.5</f>
        <v>18.5</v>
      </c>
      <c r="K13" s="20">
        <f>1441.5</f>
        <v>1441.5</v>
      </c>
      <c r="L13" s="20">
        <f>99.5</f>
        <v>99.5</v>
      </c>
      <c r="M13" s="20">
        <f>1681</f>
        <v>1681</v>
      </c>
      <c r="N13" s="20">
        <f>194.5</f>
        <v>194.5</v>
      </c>
      <c r="O13" s="19">
        <f>4433</f>
        <v>4433</v>
      </c>
      <c r="P13" s="19">
        <f>2838</f>
        <v>2838</v>
      </c>
      <c r="Q13" s="20">
        <f>423</f>
        <v>423</v>
      </c>
      <c r="R13" s="19">
        <f>18</f>
        <v>18</v>
      </c>
      <c r="S13" s="19">
        <f>54.5</f>
        <v>54.5</v>
      </c>
      <c r="T13" s="19">
        <f>620</f>
        <v>620</v>
      </c>
      <c r="U13" s="19">
        <f>727</f>
        <v>727</v>
      </c>
      <c r="V13" s="19">
        <f>287</f>
        <v>287</v>
      </c>
      <c r="W13" s="19">
        <f>18.5</f>
        <v>18.5</v>
      </c>
      <c r="X13" s="19">
        <f>776.5</f>
        <v>776.5</v>
      </c>
      <c r="Y13" s="19">
        <f>748</f>
        <v>748</v>
      </c>
      <c r="Z13" s="19">
        <f>113.5</f>
        <v>113.5</v>
      </c>
      <c r="AA13" s="19">
        <f>410.5</f>
        <v>410.5</v>
      </c>
      <c r="AB13" s="19"/>
      <c r="AC13" s="19">
        <f>48.5</f>
        <v>48.5</v>
      </c>
      <c r="AD13" s="19">
        <f>50.5</f>
        <v>50.5</v>
      </c>
      <c r="AE13" s="19">
        <f>22</f>
        <v>22</v>
      </c>
      <c r="AF13" s="19">
        <f>8.5</f>
        <v>8.5</v>
      </c>
      <c r="AG13" s="19">
        <f>5314.5</f>
        <v>5314.5</v>
      </c>
      <c r="AH13" s="19">
        <f>1113.5</f>
        <v>1113.5</v>
      </c>
      <c r="AI13" s="19">
        <f>40</f>
        <v>40</v>
      </c>
      <c r="AJ13" s="19"/>
      <c r="AK13" s="19"/>
      <c r="AL13" s="19">
        <f>759</f>
        <v>759</v>
      </c>
      <c r="AM13" s="19">
        <f>62</f>
        <v>62</v>
      </c>
      <c r="AN13" s="19"/>
      <c r="AO13" s="19">
        <f>45.5</f>
        <v>45.5</v>
      </c>
      <c r="AP13" s="19"/>
      <c r="AQ13" s="19">
        <f>33.5</f>
        <v>33.5</v>
      </c>
      <c r="AR13" s="19"/>
      <c r="AS13" s="19">
        <f>140.5</f>
        <v>140.5</v>
      </c>
      <c r="AT13" s="19">
        <f>269</f>
        <v>269</v>
      </c>
      <c r="AU13" s="19"/>
      <c r="AV13" s="19">
        <f>77</f>
        <v>77</v>
      </c>
      <c r="AW13" s="19"/>
      <c r="AX13" s="19">
        <f>907</f>
        <v>907</v>
      </c>
      <c r="AY13" s="19">
        <f>366</f>
        <v>366</v>
      </c>
      <c r="AZ13" s="19"/>
      <c r="BA13" s="20"/>
      <c r="BB13" s="19">
        <f>242</f>
        <v>242</v>
      </c>
      <c r="BC13" s="19">
        <f>75</f>
        <v>75</v>
      </c>
      <c r="BD13" s="19">
        <f t="shared" si="0"/>
        <v>29133</v>
      </c>
    </row>
    <row r="14" spans="1:83" ht="15" customHeight="1">
      <c r="B14" s="48"/>
      <c r="C14" s="53"/>
      <c r="D14" s="53"/>
      <c r="E14" s="48"/>
      <c r="F14" s="53"/>
      <c r="G14" s="20"/>
      <c r="H14" s="20"/>
      <c r="I14" s="20"/>
      <c r="J14" s="20"/>
      <c r="K14" s="20"/>
      <c r="L14" s="20"/>
      <c r="M14" s="20"/>
      <c r="N14" s="20"/>
      <c r="O14" s="19"/>
      <c r="P14" s="19"/>
      <c r="Q14" s="20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20"/>
      <c r="BB14" s="19"/>
      <c r="BC14" s="19"/>
      <c r="BD14" s="19">
        <f t="shared" si="0"/>
        <v>0</v>
      </c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</row>
    <row r="15" spans="1:83" s="5" customFormat="1" ht="15" customHeight="1">
      <c r="B15" s="47" t="s">
        <v>80</v>
      </c>
      <c r="C15" s="47" t="s">
        <v>81</v>
      </c>
      <c r="D15" s="47">
        <v>2019</v>
      </c>
      <c r="E15" s="47" t="s">
        <v>78</v>
      </c>
      <c r="F15" s="47">
        <v>23</v>
      </c>
      <c r="G15" s="20">
        <f>3631.5</f>
        <v>3631.5</v>
      </c>
      <c r="H15" s="20">
        <f>181.5</f>
        <v>181.5</v>
      </c>
      <c r="I15" s="20">
        <f>731</f>
        <v>731</v>
      </c>
      <c r="J15" s="20">
        <f>14</f>
        <v>14</v>
      </c>
      <c r="K15" s="20">
        <f>2857</f>
        <v>2857</v>
      </c>
      <c r="L15" s="20">
        <f>80</f>
        <v>80</v>
      </c>
      <c r="M15" s="20">
        <f>445</f>
        <v>445</v>
      </c>
      <c r="N15" s="20">
        <f>131.5</f>
        <v>131.5</v>
      </c>
      <c r="O15" s="19">
        <f>347</f>
        <v>347</v>
      </c>
      <c r="P15" s="19">
        <f>257</f>
        <v>257</v>
      </c>
      <c r="Q15" s="20">
        <f>176</f>
        <v>176</v>
      </c>
      <c r="R15" s="19"/>
      <c r="S15" s="19">
        <f>21</f>
        <v>21</v>
      </c>
      <c r="T15" s="19">
        <f>412</f>
        <v>412</v>
      </c>
      <c r="U15" s="19">
        <f>512.5</f>
        <v>512.5</v>
      </c>
      <c r="V15" s="19">
        <f>615.5</f>
        <v>615.5</v>
      </c>
      <c r="W15" s="19">
        <f>30.5</f>
        <v>30.5</v>
      </c>
      <c r="X15" s="19">
        <f>4949</f>
        <v>4949</v>
      </c>
      <c r="Y15" s="19">
        <f>1123</f>
        <v>1123</v>
      </c>
      <c r="Z15" s="19">
        <f>14.5</f>
        <v>14.5</v>
      </c>
      <c r="AA15" s="19">
        <f>165</f>
        <v>165</v>
      </c>
      <c r="AB15" s="19"/>
      <c r="AC15" s="19">
        <f>55.5</f>
        <v>55.5</v>
      </c>
      <c r="AD15" s="27">
        <f>299.5</f>
        <v>299.5</v>
      </c>
      <c r="AE15" s="19">
        <f>29</f>
        <v>29</v>
      </c>
      <c r="AF15" s="19"/>
      <c r="AG15" s="19">
        <f>3775.5</f>
        <v>3775.5</v>
      </c>
      <c r="AH15" s="19">
        <f>492.5</f>
        <v>492.5</v>
      </c>
      <c r="AI15" s="19">
        <f>62</f>
        <v>62</v>
      </c>
      <c r="AJ15" s="19"/>
      <c r="AK15" s="19"/>
      <c r="AL15" s="19">
        <f>686.5</f>
        <v>686.5</v>
      </c>
      <c r="AM15" s="19"/>
      <c r="AN15" s="19"/>
      <c r="AO15" s="19">
        <f>8.5</f>
        <v>8.5</v>
      </c>
      <c r="AP15" s="19"/>
      <c r="AQ15" s="19">
        <f>18.5</f>
        <v>18.5</v>
      </c>
      <c r="AR15" s="19"/>
      <c r="AS15" s="19"/>
      <c r="AT15" s="19"/>
      <c r="AU15" s="19"/>
      <c r="AV15" s="19">
        <f>47</f>
        <v>47</v>
      </c>
      <c r="AW15" s="19"/>
      <c r="AX15" s="19">
        <f>3432</f>
        <v>3432</v>
      </c>
      <c r="AY15" s="20">
        <f>29.5</f>
        <v>29.5</v>
      </c>
      <c r="AZ15" s="20"/>
      <c r="BA15" s="20"/>
      <c r="BB15" s="19">
        <f>45.5</f>
        <v>45.5</v>
      </c>
      <c r="BC15" s="19">
        <f>77.5+13</f>
        <v>90.5</v>
      </c>
      <c r="BD15" s="19">
        <f t="shared" si="0"/>
        <v>25766.5</v>
      </c>
    </row>
    <row r="16" spans="1:83" ht="15" customHeight="1">
      <c r="B16" s="48"/>
      <c r="C16" s="48"/>
      <c r="D16" s="48"/>
      <c r="E16" s="48"/>
      <c r="F16" s="48"/>
      <c r="G16" s="20"/>
      <c r="H16" s="20"/>
      <c r="I16" s="20"/>
      <c r="J16" s="20"/>
      <c r="K16" s="20"/>
      <c r="L16" s="20"/>
      <c r="M16" s="20"/>
      <c r="N16" s="20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20"/>
      <c r="AZ16" s="20"/>
      <c r="BA16" s="20"/>
      <c r="BB16" s="19"/>
      <c r="BC16" s="19"/>
      <c r="BD16" s="19">
        <f t="shared" si="0"/>
        <v>0</v>
      </c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</row>
    <row r="17" spans="2:83" s="5" customFormat="1" ht="15" customHeight="1">
      <c r="B17" s="47" t="s">
        <v>82</v>
      </c>
      <c r="C17" s="47" t="s">
        <v>83</v>
      </c>
      <c r="D17" s="47">
        <v>2019</v>
      </c>
      <c r="E17" s="47" t="s">
        <v>86</v>
      </c>
      <c r="F17" s="47">
        <v>24</v>
      </c>
      <c r="G17" s="20">
        <f>768.5</f>
        <v>768.5</v>
      </c>
      <c r="H17" s="20">
        <f>16.5</f>
        <v>16.5</v>
      </c>
      <c r="I17" s="20">
        <f>181</f>
        <v>181</v>
      </c>
      <c r="J17" s="20">
        <f>7</f>
        <v>7</v>
      </c>
      <c r="K17" s="20">
        <f>265.5</f>
        <v>265.5</v>
      </c>
      <c r="L17" s="20">
        <f>10</f>
        <v>10</v>
      </c>
      <c r="M17" s="20">
        <f>199.5</f>
        <v>199.5</v>
      </c>
      <c r="N17" s="20">
        <f>34</f>
        <v>34</v>
      </c>
      <c r="O17" s="19"/>
      <c r="P17" s="19">
        <f>17.5</f>
        <v>17.5</v>
      </c>
      <c r="Q17" s="20"/>
      <c r="R17" s="19"/>
      <c r="S17" s="19">
        <f>13</f>
        <v>13</v>
      </c>
      <c r="T17" s="19">
        <f>140.5</f>
        <v>140.5</v>
      </c>
      <c r="U17" s="19">
        <f>121</f>
        <v>121</v>
      </c>
      <c r="V17" s="19">
        <f>42.5</f>
        <v>42.5</v>
      </c>
      <c r="W17" s="19">
        <f>7</f>
        <v>7</v>
      </c>
      <c r="X17" s="19">
        <f>3312.5</f>
        <v>3312.5</v>
      </c>
      <c r="Y17" s="19">
        <f>591.5</f>
        <v>591.5</v>
      </c>
      <c r="Z17" s="19"/>
      <c r="AA17" s="19">
        <f>38.5</f>
        <v>38.5</v>
      </c>
      <c r="AB17" s="19"/>
      <c r="AC17" s="19">
        <f>1</f>
        <v>1</v>
      </c>
      <c r="AD17" s="19">
        <f>75</f>
        <v>75</v>
      </c>
      <c r="AE17" s="19">
        <f>5.5</f>
        <v>5.5</v>
      </c>
      <c r="AF17" s="19"/>
      <c r="AG17" s="19">
        <f>348.5</f>
        <v>348.5</v>
      </c>
      <c r="AH17" s="19">
        <f>5</f>
        <v>5</v>
      </c>
      <c r="AI17" s="19">
        <f>3</f>
        <v>3</v>
      </c>
      <c r="AJ17" s="19"/>
      <c r="AK17" s="19"/>
      <c r="AL17" s="19">
        <f>344</f>
        <v>344</v>
      </c>
      <c r="AM17" s="19"/>
      <c r="AN17" s="19"/>
      <c r="AO17" s="19"/>
      <c r="AP17" s="19">
        <f>2</f>
        <v>2</v>
      </c>
      <c r="AQ17" s="19">
        <f>23</f>
        <v>23</v>
      </c>
      <c r="AR17" s="19"/>
      <c r="AS17" s="19"/>
      <c r="AT17" s="19">
        <f>4</f>
        <v>4</v>
      </c>
      <c r="AU17" s="19"/>
      <c r="AV17" s="19">
        <f>6</f>
        <v>6</v>
      </c>
      <c r="AW17" s="19">
        <f>11.5</f>
        <v>11.5</v>
      </c>
      <c r="AX17" s="19">
        <f>3697.5</f>
        <v>3697.5</v>
      </c>
      <c r="AY17" s="19">
        <f>503</f>
        <v>503</v>
      </c>
      <c r="AZ17" s="19"/>
      <c r="BA17" s="20"/>
      <c r="BB17" s="19">
        <f>19.5</f>
        <v>19.5</v>
      </c>
      <c r="BC17" s="19">
        <f>36.5</f>
        <v>36.5</v>
      </c>
      <c r="BD17" s="19">
        <f t="shared" si="0"/>
        <v>10851</v>
      </c>
    </row>
    <row r="18" spans="2:83" ht="15" customHeight="1">
      <c r="B18" s="48"/>
      <c r="C18" s="48"/>
      <c r="D18" s="48"/>
      <c r="E18" s="48"/>
      <c r="F18" s="48"/>
      <c r="G18" s="20"/>
      <c r="H18" s="20"/>
      <c r="I18" s="20"/>
      <c r="J18" s="20"/>
      <c r="K18" s="20"/>
      <c r="L18" s="20"/>
      <c r="M18" s="20"/>
      <c r="N18" s="20"/>
      <c r="O18" s="19"/>
      <c r="P18" s="19"/>
      <c r="Q18" s="20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20"/>
      <c r="BB18" s="19"/>
      <c r="BC18" s="19"/>
      <c r="BD18" s="19">
        <f t="shared" si="0"/>
        <v>0</v>
      </c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</row>
    <row r="19" spans="2:83" s="5" customFormat="1" ht="15" customHeight="1">
      <c r="B19" s="47" t="s">
        <v>84</v>
      </c>
      <c r="C19" s="47" t="s">
        <v>85</v>
      </c>
      <c r="D19" s="47">
        <v>2019</v>
      </c>
      <c r="E19" s="47" t="s">
        <v>78</v>
      </c>
      <c r="F19" s="47">
        <v>25</v>
      </c>
      <c r="G19" s="20">
        <f>4703</f>
        <v>4703</v>
      </c>
      <c r="H19" s="20">
        <f>247</f>
        <v>247</v>
      </c>
      <c r="I19" s="20">
        <f>999</f>
        <v>999</v>
      </c>
      <c r="J19" s="20">
        <f>726</f>
        <v>726</v>
      </c>
      <c r="K19" s="20">
        <f>1381.5</f>
        <v>1381.5</v>
      </c>
      <c r="L19" s="20">
        <f>17</f>
        <v>17</v>
      </c>
      <c r="M19" s="20">
        <f>1805.5</f>
        <v>1805.5</v>
      </c>
      <c r="N19" s="20">
        <f>227.5</f>
        <v>227.5</v>
      </c>
      <c r="O19" s="19">
        <f>2241.5</f>
        <v>2241.5</v>
      </c>
      <c r="P19" s="19">
        <f>1246</f>
        <v>1246</v>
      </c>
      <c r="Q19" s="20">
        <f>118</f>
        <v>118</v>
      </c>
      <c r="R19" s="19"/>
      <c r="S19" s="19">
        <f>117.5</f>
        <v>117.5</v>
      </c>
      <c r="T19" s="19">
        <f>841</f>
        <v>841</v>
      </c>
      <c r="U19" s="19">
        <f>309.5</f>
        <v>309.5</v>
      </c>
      <c r="V19" s="19">
        <f>488.5</f>
        <v>488.5</v>
      </c>
      <c r="W19" s="19">
        <f>67</f>
        <v>67</v>
      </c>
      <c r="X19" s="19">
        <f>3439</f>
        <v>3439</v>
      </c>
      <c r="Y19" s="19">
        <f>185</f>
        <v>185</v>
      </c>
      <c r="Z19" s="19">
        <f>128.5</f>
        <v>128.5</v>
      </c>
      <c r="AA19" s="19">
        <f>284.5</f>
        <v>284.5</v>
      </c>
      <c r="AB19" s="19"/>
      <c r="AC19" s="19">
        <f>329</f>
        <v>329</v>
      </c>
      <c r="AD19" s="19">
        <f>94</f>
        <v>94</v>
      </c>
      <c r="AE19" s="19">
        <f>170</f>
        <v>170</v>
      </c>
      <c r="AF19" s="19"/>
      <c r="AG19" s="19">
        <f>3495</f>
        <v>3495</v>
      </c>
      <c r="AH19" s="19">
        <f>38</f>
        <v>38</v>
      </c>
      <c r="AI19" s="19">
        <f>57.5</f>
        <v>57.5</v>
      </c>
      <c r="AJ19" s="19"/>
      <c r="AK19" s="19"/>
      <c r="AL19" s="19">
        <f>983.5</f>
        <v>983.5</v>
      </c>
      <c r="AM19" s="19"/>
      <c r="AN19" s="19"/>
      <c r="AO19" s="19">
        <f>14.5</f>
        <v>14.5</v>
      </c>
      <c r="AP19" s="19"/>
      <c r="AQ19" s="19">
        <f>73</f>
        <v>73</v>
      </c>
      <c r="AR19" s="19"/>
      <c r="AS19" s="19">
        <f>5</f>
        <v>5</v>
      </c>
      <c r="AT19" s="19"/>
      <c r="AU19" s="19"/>
      <c r="AV19" s="19">
        <f>41.5</f>
        <v>41.5</v>
      </c>
      <c r="AW19" s="19">
        <f>2.5</f>
        <v>2.5</v>
      </c>
      <c r="AX19" s="19">
        <f>5605</f>
        <v>5605</v>
      </c>
      <c r="AY19" s="19">
        <f>945</f>
        <v>945</v>
      </c>
      <c r="AZ19" s="19"/>
      <c r="BA19" s="20"/>
      <c r="BB19" s="19">
        <f>66</f>
        <v>66</v>
      </c>
      <c r="BC19" s="19">
        <f>59</f>
        <v>59</v>
      </c>
      <c r="BD19" s="19">
        <f t="shared" si="0"/>
        <v>31551</v>
      </c>
    </row>
    <row r="20" spans="2:83" s="5" customFormat="1" ht="15" customHeight="1">
      <c r="B20" s="48"/>
      <c r="C20" s="48"/>
      <c r="D20" s="48"/>
      <c r="E20" s="48"/>
      <c r="F20" s="48"/>
      <c r="G20" s="20"/>
      <c r="H20" s="20"/>
      <c r="I20" s="20"/>
      <c r="J20" s="20"/>
      <c r="K20" s="20"/>
      <c r="L20" s="20"/>
      <c r="M20" s="20"/>
      <c r="N20" s="20"/>
      <c r="O20" s="19"/>
      <c r="P20" s="19"/>
      <c r="Q20" s="20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20"/>
      <c r="BB20" s="19"/>
      <c r="BC20" s="19"/>
      <c r="BD20" s="19">
        <f t="shared" si="0"/>
        <v>0</v>
      </c>
    </row>
    <row r="21" spans="2:83" s="5" customFormat="1" ht="15" customHeight="1">
      <c r="B21" s="47" t="s">
        <v>84</v>
      </c>
      <c r="C21" s="47" t="s">
        <v>83</v>
      </c>
      <c r="D21" s="47">
        <v>2019</v>
      </c>
      <c r="E21" s="47" t="s">
        <v>78</v>
      </c>
      <c r="F21" s="47">
        <v>27</v>
      </c>
      <c r="G21" s="20">
        <f>1840</f>
        <v>1840</v>
      </c>
      <c r="H21" s="20">
        <f>115.5</f>
        <v>115.5</v>
      </c>
      <c r="I21" s="20">
        <f>627</f>
        <v>627</v>
      </c>
      <c r="J21" s="20">
        <f>42.5</f>
        <v>42.5</v>
      </c>
      <c r="K21" s="20">
        <f>903.5</f>
        <v>903.5</v>
      </c>
      <c r="L21" s="20">
        <f>21</f>
        <v>21</v>
      </c>
      <c r="M21" s="20">
        <f>543</f>
        <v>543</v>
      </c>
      <c r="N21" s="20">
        <f>128.5</f>
        <v>128.5</v>
      </c>
      <c r="O21" s="19">
        <f>873</f>
        <v>873</v>
      </c>
      <c r="P21" s="19">
        <f>725</f>
        <v>725</v>
      </c>
      <c r="Q21" s="20">
        <f>66.5</f>
        <v>66.5</v>
      </c>
      <c r="R21" s="19"/>
      <c r="S21" s="19">
        <f>136.5</f>
        <v>136.5</v>
      </c>
      <c r="T21" s="19">
        <f>380.5</f>
        <v>380.5</v>
      </c>
      <c r="U21" s="19">
        <f>281</f>
        <v>281</v>
      </c>
      <c r="V21" s="19">
        <f>413</f>
        <v>413</v>
      </c>
      <c r="W21" s="19">
        <f>76.5</f>
        <v>76.5</v>
      </c>
      <c r="X21" s="19">
        <f>3649.5</f>
        <v>3649.5</v>
      </c>
      <c r="Y21" s="19">
        <f>431.5</f>
        <v>431.5</v>
      </c>
      <c r="Z21" s="19">
        <f>30.5</f>
        <v>30.5</v>
      </c>
      <c r="AA21" s="19">
        <f>133.5</f>
        <v>133.5</v>
      </c>
      <c r="AB21" s="19"/>
      <c r="AC21" s="19">
        <f>118.5</f>
        <v>118.5</v>
      </c>
      <c r="AD21" s="19">
        <f>151.5</f>
        <v>151.5</v>
      </c>
      <c r="AE21" s="19">
        <f>162</f>
        <v>162</v>
      </c>
      <c r="AF21" s="19"/>
      <c r="AG21" s="19">
        <f>2088</f>
        <v>2088</v>
      </c>
      <c r="AH21" s="19">
        <f>74.5</f>
        <v>74.5</v>
      </c>
      <c r="AI21" s="19">
        <f>33.5</f>
        <v>33.5</v>
      </c>
      <c r="AJ21" s="19"/>
      <c r="AK21" s="19"/>
      <c r="AL21" s="19">
        <f>256.5</f>
        <v>256.5</v>
      </c>
      <c r="AM21" s="19"/>
      <c r="AN21" s="19"/>
      <c r="AO21" s="19"/>
      <c r="AP21" s="19"/>
      <c r="AQ21" s="19">
        <f>11</f>
        <v>11</v>
      </c>
      <c r="AR21" s="19"/>
      <c r="AS21" s="19">
        <f>4</f>
        <v>4</v>
      </c>
      <c r="AT21" s="19"/>
      <c r="AU21" s="19"/>
      <c r="AV21" s="19">
        <f>113</f>
        <v>113</v>
      </c>
      <c r="AW21" s="19">
        <f>33</f>
        <v>33</v>
      </c>
      <c r="AX21" s="19">
        <f>6129</f>
        <v>6129</v>
      </c>
      <c r="AY21" s="19">
        <f>1348</f>
        <v>1348</v>
      </c>
      <c r="AZ21" s="19"/>
      <c r="BA21" s="20"/>
      <c r="BB21" s="19">
        <f>22</f>
        <v>22</v>
      </c>
      <c r="BC21" s="19">
        <f>62.5</f>
        <v>62.5</v>
      </c>
      <c r="BD21" s="19">
        <f t="shared" si="0"/>
        <v>22025</v>
      </c>
    </row>
    <row r="22" spans="2:83" s="5" customFormat="1" ht="15" customHeight="1">
      <c r="B22" s="48"/>
      <c r="C22" s="48"/>
      <c r="D22" s="48"/>
      <c r="E22" s="48"/>
      <c r="F22" s="48"/>
      <c r="G22" s="20"/>
      <c r="H22" s="20"/>
      <c r="I22" s="20"/>
      <c r="J22" s="20"/>
      <c r="K22" s="20"/>
      <c r="L22" s="20"/>
      <c r="M22" s="20"/>
      <c r="N22" s="20"/>
      <c r="O22" s="19"/>
      <c r="P22" s="19"/>
      <c r="Q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20"/>
      <c r="BB22" s="19"/>
      <c r="BC22" s="19"/>
      <c r="BD22" s="19">
        <f t="shared" si="0"/>
        <v>0</v>
      </c>
    </row>
    <row r="23" spans="2:83" s="5" customFormat="1" ht="15" customHeight="1">
      <c r="B23" s="47" t="s">
        <v>82</v>
      </c>
      <c r="C23" s="47" t="s">
        <v>87</v>
      </c>
      <c r="D23" s="47">
        <v>2019</v>
      </c>
      <c r="E23" s="47" t="s">
        <v>78</v>
      </c>
      <c r="F23" s="47">
        <v>28</v>
      </c>
      <c r="G23" s="20">
        <f>524.5</f>
        <v>524.5</v>
      </c>
      <c r="H23" s="20">
        <f>28</f>
        <v>28</v>
      </c>
      <c r="I23" s="20">
        <f>263</f>
        <v>263</v>
      </c>
      <c r="J23" s="20">
        <f>101</f>
        <v>101</v>
      </c>
      <c r="K23" s="20">
        <f>385.5</f>
        <v>385.5</v>
      </c>
      <c r="L23" s="20">
        <f>6.5</f>
        <v>6.5</v>
      </c>
      <c r="M23" s="20">
        <f>75</f>
        <v>75</v>
      </c>
      <c r="N23" s="20">
        <f>29</f>
        <v>29</v>
      </c>
      <c r="O23" s="19"/>
      <c r="P23" s="19">
        <f>21.5</f>
        <v>21.5</v>
      </c>
      <c r="Q23" s="20">
        <f>13</f>
        <v>13</v>
      </c>
      <c r="R23" s="19"/>
      <c r="S23" s="19">
        <f>13</f>
        <v>13</v>
      </c>
      <c r="T23" s="19">
        <f>100</f>
        <v>100</v>
      </c>
      <c r="U23" s="19">
        <f>147.5</f>
        <v>147.5</v>
      </c>
      <c r="V23" s="19">
        <f>23.5</f>
        <v>23.5</v>
      </c>
      <c r="W23" s="19">
        <f>11.5</f>
        <v>11.5</v>
      </c>
      <c r="X23" s="19">
        <f>4157</f>
        <v>4157</v>
      </c>
      <c r="Y23" s="19">
        <f>495.5</f>
        <v>495.5</v>
      </c>
      <c r="Z23" s="19"/>
      <c r="AA23" s="19">
        <f>36.5</f>
        <v>36.5</v>
      </c>
      <c r="AB23" s="19"/>
      <c r="AC23" s="19"/>
      <c r="AD23" s="19">
        <f>76</f>
        <v>76</v>
      </c>
      <c r="AE23" s="19">
        <f>47.5</f>
        <v>47.5</v>
      </c>
      <c r="AF23" s="19"/>
      <c r="AG23" s="19">
        <f>353.5</f>
        <v>353.5</v>
      </c>
      <c r="AH23" s="19">
        <f>51</f>
        <v>51</v>
      </c>
      <c r="AI23" s="19"/>
      <c r="AJ23" s="19">
        <f>39.5</f>
        <v>39.5</v>
      </c>
      <c r="AK23" s="19"/>
      <c r="AL23" s="19">
        <f>322</f>
        <v>322</v>
      </c>
      <c r="AM23" s="19"/>
      <c r="AN23" s="19"/>
      <c r="AO23" s="19"/>
      <c r="AP23" s="19"/>
      <c r="AQ23" s="19">
        <f>18.5</f>
        <v>18.5</v>
      </c>
      <c r="AR23" s="19"/>
      <c r="AS23" s="19"/>
      <c r="AT23" s="19"/>
      <c r="AU23" s="19"/>
      <c r="AV23" s="19">
        <f>7</f>
        <v>7</v>
      </c>
      <c r="AW23" s="19"/>
      <c r="AX23" s="19">
        <f>4498</f>
        <v>4498</v>
      </c>
      <c r="AY23" s="19">
        <f>466</f>
        <v>466</v>
      </c>
      <c r="AZ23" s="19"/>
      <c r="BA23" s="20"/>
      <c r="BB23" s="19"/>
      <c r="BC23" s="19">
        <f>8</f>
        <v>8</v>
      </c>
      <c r="BD23" s="19">
        <f t="shared" si="0"/>
        <v>12318.5</v>
      </c>
    </row>
    <row r="24" spans="2:83" s="5" customFormat="1" ht="15" customHeight="1">
      <c r="B24" s="48"/>
      <c r="C24" s="48"/>
      <c r="D24" s="48"/>
      <c r="E24" s="48"/>
      <c r="F24" s="48"/>
      <c r="G24" s="20"/>
      <c r="H24" s="20"/>
      <c r="I24" s="20"/>
      <c r="J24" s="20"/>
      <c r="K24" s="20"/>
      <c r="L24" s="20"/>
      <c r="M24" s="20"/>
      <c r="N24" s="20"/>
      <c r="O24" s="19"/>
      <c r="P24" s="19"/>
      <c r="Q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20"/>
      <c r="BB24" s="19"/>
      <c r="BC24" s="19"/>
      <c r="BD24" s="19">
        <f t="shared" si="0"/>
        <v>0</v>
      </c>
    </row>
    <row r="25" spans="2:83" s="5" customFormat="1" ht="15" customHeight="1">
      <c r="B25" s="47" t="s">
        <v>84</v>
      </c>
      <c r="C25" s="47" t="s">
        <v>88</v>
      </c>
      <c r="D25" s="47">
        <v>2019</v>
      </c>
      <c r="E25" s="47" t="s">
        <v>78</v>
      </c>
      <c r="F25" s="47">
        <v>30</v>
      </c>
      <c r="G25" s="20">
        <f>1237.5</f>
        <v>1237.5</v>
      </c>
      <c r="H25" s="20">
        <f>127</f>
        <v>127</v>
      </c>
      <c r="I25" s="20">
        <f>403</f>
        <v>403</v>
      </c>
      <c r="J25" s="20"/>
      <c r="K25" s="20">
        <f>458.5</f>
        <v>458.5</v>
      </c>
      <c r="L25" s="20"/>
      <c r="M25" s="20">
        <f>446.5</f>
        <v>446.5</v>
      </c>
      <c r="N25" s="20">
        <f>47.5</f>
        <v>47.5</v>
      </c>
      <c r="O25" s="19">
        <f>802</f>
        <v>802</v>
      </c>
      <c r="P25" s="19">
        <f>582</f>
        <v>582</v>
      </c>
      <c r="Q25" s="20">
        <f>75</f>
        <v>75</v>
      </c>
      <c r="R25" s="19"/>
      <c r="S25" s="19">
        <f>127</f>
        <v>127</v>
      </c>
      <c r="T25" s="19">
        <f>426.5</f>
        <v>426.5</v>
      </c>
      <c r="U25" s="19">
        <f>313.5</f>
        <v>313.5</v>
      </c>
      <c r="V25" s="19">
        <f>208.5</f>
        <v>208.5</v>
      </c>
      <c r="W25" s="19">
        <f>6</f>
        <v>6</v>
      </c>
      <c r="X25" s="19"/>
      <c r="Y25" s="19"/>
      <c r="Z25" s="19">
        <f>42</f>
        <v>42</v>
      </c>
      <c r="AA25" s="19">
        <f>51.5</f>
        <v>51.5</v>
      </c>
      <c r="AB25" s="19"/>
      <c r="AC25" s="19">
        <f>101.5</f>
        <v>101.5</v>
      </c>
      <c r="AD25" s="19">
        <f>214.5</f>
        <v>214.5</v>
      </c>
      <c r="AE25" s="19">
        <f>132</f>
        <v>132</v>
      </c>
      <c r="AF25" s="19"/>
      <c r="AG25" s="19">
        <f>2062</f>
        <v>2062</v>
      </c>
      <c r="AH25" s="19">
        <f>272</f>
        <v>272</v>
      </c>
      <c r="AI25" s="19">
        <f>54.5</f>
        <v>54.5</v>
      </c>
      <c r="AJ25" s="19"/>
      <c r="AK25" s="19"/>
      <c r="AL25" s="19">
        <f>470</f>
        <v>470</v>
      </c>
      <c r="AM25" s="19"/>
      <c r="AN25" s="19"/>
      <c r="AO25" s="19">
        <f>23.5</f>
        <v>23.5</v>
      </c>
      <c r="AP25" s="19"/>
      <c r="AQ25" s="19">
        <f>13</f>
        <v>13</v>
      </c>
      <c r="AR25" s="19"/>
      <c r="AS25" s="19"/>
      <c r="AT25" s="19"/>
      <c r="AU25" s="19"/>
      <c r="AV25" s="19">
        <f>11.5</f>
        <v>11.5</v>
      </c>
      <c r="AW25" s="19">
        <f>18.5</f>
        <v>18.5</v>
      </c>
      <c r="AX25" s="19">
        <f>9423</f>
        <v>9423</v>
      </c>
      <c r="AY25" s="19">
        <f>265</f>
        <v>265</v>
      </c>
      <c r="AZ25" s="19"/>
      <c r="BA25" s="20"/>
      <c r="BB25" s="19"/>
      <c r="BC25" s="19">
        <f>43.5</f>
        <v>43.5</v>
      </c>
      <c r="BD25" s="19">
        <f t="shared" si="0"/>
        <v>18458.5</v>
      </c>
    </row>
    <row r="26" spans="2:83" s="5" customFormat="1" ht="15" customHeight="1">
      <c r="B26" s="48"/>
      <c r="C26" s="48"/>
      <c r="D26" s="48"/>
      <c r="E26" s="48"/>
      <c r="F26" s="48"/>
      <c r="G26" s="20"/>
      <c r="H26" s="20"/>
      <c r="I26" s="20"/>
      <c r="J26" s="20"/>
      <c r="K26" s="20"/>
      <c r="L26" s="20"/>
      <c r="M26" s="20"/>
      <c r="N26" s="20"/>
      <c r="O26" s="19"/>
      <c r="P26" s="19"/>
      <c r="Q26" s="20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20"/>
      <c r="BB26" s="19"/>
      <c r="BC26" s="19"/>
      <c r="BD26" s="19">
        <f t="shared" si="0"/>
        <v>0</v>
      </c>
    </row>
    <row r="27" spans="2:83" s="5" customFormat="1" ht="15" customHeight="1">
      <c r="B27" s="47" t="s">
        <v>76</v>
      </c>
      <c r="C27" s="47" t="s">
        <v>89</v>
      </c>
      <c r="D27" s="47">
        <v>2019</v>
      </c>
      <c r="E27" s="47" t="s">
        <v>78</v>
      </c>
      <c r="F27" s="47">
        <v>24</v>
      </c>
      <c r="G27" s="20">
        <f>3293.5</f>
        <v>3293.5</v>
      </c>
      <c r="H27" s="20">
        <f>131.5</f>
        <v>131.5</v>
      </c>
      <c r="I27" s="20">
        <f>769</f>
        <v>769</v>
      </c>
      <c r="J27" s="20">
        <f>96</f>
        <v>96</v>
      </c>
      <c r="K27" s="20">
        <f>608.5</f>
        <v>608.5</v>
      </c>
      <c r="L27" s="20">
        <f>22.5</f>
        <v>22.5</v>
      </c>
      <c r="M27" s="20">
        <f>692</f>
        <v>692</v>
      </c>
      <c r="N27" s="20">
        <f>141.5</f>
        <v>141.5</v>
      </c>
      <c r="O27" s="19">
        <f>2174+497.5</f>
        <v>2671.5</v>
      </c>
      <c r="P27" s="19">
        <f>1672</f>
        <v>1672</v>
      </c>
      <c r="Q27" s="20">
        <f>179</f>
        <v>179</v>
      </c>
      <c r="R27" s="19"/>
      <c r="S27" s="19">
        <f>62.5</f>
        <v>62.5</v>
      </c>
      <c r="T27" s="19">
        <f>405.5</f>
        <v>405.5</v>
      </c>
      <c r="U27" s="19">
        <f>327</f>
        <v>327</v>
      </c>
      <c r="V27" s="19">
        <f>202</f>
        <v>202</v>
      </c>
      <c r="W27" s="19">
        <f>31</f>
        <v>31</v>
      </c>
      <c r="X27" s="19">
        <f>2889</f>
        <v>2889</v>
      </c>
      <c r="Y27" s="19">
        <f>830</f>
        <v>830</v>
      </c>
      <c r="Z27" s="19">
        <f>56.5</f>
        <v>56.5</v>
      </c>
      <c r="AA27" s="19">
        <f>327.5</f>
        <v>327.5</v>
      </c>
      <c r="AB27" s="19"/>
      <c r="AC27" s="19">
        <f>14.5</f>
        <v>14.5</v>
      </c>
      <c r="AD27" s="19">
        <f>399</f>
        <v>399</v>
      </c>
      <c r="AE27" s="19">
        <f>4.5</f>
        <v>4.5</v>
      </c>
      <c r="AF27" s="19"/>
      <c r="AG27" s="19">
        <f>4181</f>
        <v>4181</v>
      </c>
      <c r="AH27" s="19">
        <f>921</f>
        <v>921</v>
      </c>
      <c r="AI27" s="19">
        <f>30</f>
        <v>30</v>
      </c>
      <c r="AJ27" s="19"/>
      <c r="AK27" s="19"/>
      <c r="AL27" s="19">
        <f>764.5</f>
        <v>764.5</v>
      </c>
      <c r="AM27" s="19">
        <f>619</f>
        <v>619</v>
      </c>
      <c r="AN27" s="19"/>
      <c r="AO27" s="19">
        <f>84</f>
        <v>84</v>
      </c>
      <c r="AP27" s="19"/>
      <c r="AQ27" s="19">
        <f>41.5</f>
        <v>41.5</v>
      </c>
      <c r="AR27" s="19"/>
      <c r="AS27" s="19">
        <f>28.5</f>
        <v>28.5</v>
      </c>
      <c r="AT27" s="19"/>
      <c r="AU27" s="19"/>
      <c r="AV27" s="19">
        <f>10</f>
        <v>10</v>
      </c>
      <c r="AW27" s="19">
        <f>3</f>
        <v>3</v>
      </c>
      <c r="AX27" s="19">
        <f>1761.5</f>
        <v>1761.5</v>
      </c>
      <c r="AY27" s="19">
        <f>1065.5</f>
        <v>1065.5</v>
      </c>
      <c r="AZ27" s="19"/>
      <c r="BA27" s="20"/>
      <c r="BB27" s="19">
        <f>133</f>
        <v>133</v>
      </c>
      <c r="BC27" s="19">
        <f>422</f>
        <v>422</v>
      </c>
      <c r="BD27" s="19">
        <f t="shared" si="0"/>
        <v>25890.5</v>
      </c>
    </row>
    <row r="28" spans="2:83" s="5" customFormat="1" ht="15" customHeight="1">
      <c r="B28" s="48"/>
      <c r="C28" s="48"/>
      <c r="D28" s="48"/>
      <c r="E28" s="48"/>
      <c r="F28" s="48"/>
      <c r="G28" s="20"/>
      <c r="H28" s="20"/>
      <c r="I28" s="20"/>
      <c r="J28" s="20"/>
      <c r="K28" s="20"/>
      <c r="L28" s="20"/>
      <c r="M28" s="20"/>
      <c r="N28" s="20"/>
      <c r="O28" s="19"/>
      <c r="P28" s="19"/>
      <c r="Q28" s="20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20"/>
      <c r="BB28" s="19"/>
      <c r="BC28" s="19"/>
      <c r="BD28" s="19">
        <f t="shared" si="0"/>
        <v>0</v>
      </c>
    </row>
    <row r="29" spans="2:83" s="5" customFormat="1" ht="15" customHeight="1">
      <c r="B29" s="47" t="s">
        <v>90</v>
      </c>
      <c r="C29" s="52" t="s">
        <v>91</v>
      </c>
      <c r="D29" s="52">
        <v>2019</v>
      </c>
      <c r="E29" s="52" t="s">
        <v>78</v>
      </c>
      <c r="F29" s="52">
        <v>31</v>
      </c>
      <c r="G29" s="20">
        <f>1722</f>
        <v>1722</v>
      </c>
      <c r="H29" s="20">
        <f>286</f>
        <v>286</v>
      </c>
      <c r="I29" s="20">
        <f>587</f>
        <v>587</v>
      </c>
      <c r="J29" s="20">
        <f>178.5</f>
        <v>178.5</v>
      </c>
      <c r="K29" s="20">
        <f>399.5</f>
        <v>399.5</v>
      </c>
      <c r="L29" s="20"/>
      <c r="M29" s="20">
        <f>1261.5</f>
        <v>1261.5</v>
      </c>
      <c r="N29" s="20">
        <f>118</f>
        <v>118</v>
      </c>
      <c r="O29" s="19">
        <f>3566</f>
        <v>3566</v>
      </c>
      <c r="P29" s="19">
        <f>1385</f>
        <v>1385</v>
      </c>
      <c r="Q29" s="20">
        <f>189</f>
        <v>189</v>
      </c>
      <c r="R29" s="19"/>
      <c r="S29" s="19">
        <f>75.5</f>
        <v>75.5</v>
      </c>
      <c r="T29" s="19">
        <f>363.5</f>
        <v>363.5</v>
      </c>
      <c r="U29" s="19">
        <f>296.5</f>
        <v>296.5</v>
      </c>
      <c r="V29" s="19">
        <f>394.5</f>
        <v>394.5</v>
      </c>
      <c r="W29" s="19">
        <f>51</f>
        <v>51</v>
      </c>
      <c r="X29" s="19">
        <f>655.5</f>
        <v>655.5</v>
      </c>
      <c r="Y29" s="19">
        <f>481.5</f>
        <v>481.5</v>
      </c>
      <c r="Z29" s="19">
        <f>90.5</f>
        <v>90.5</v>
      </c>
      <c r="AA29" s="19">
        <f>412.5</f>
        <v>412.5</v>
      </c>
      <c r="AB29" s="19"/>
      <c r="AC29" s="19">
        <f>183</f>
        <v>183</v>
      </c>
      <c r="AD29" s="19">
        <f>230.5</f>
        <v>230.5</v>
      </c>
      <c r="AE29" s="19">
        <f>8.5</f>
        <v>8.5</v>
      </c>
      <c r="AF29" s="19"/>
      <c r="AG29" s="19">
        <f>5708.5</f>
        <v>5708.5</v>
      </c>
      <c r="AH29" s="19">
        <f>471</f>
        <v>471</v>
      </c>
      <c r="AI29" s="19">
        <f>7</f>
        <v>7</v>
      </c>
      <c r="AJ29" s="19">
        <f>109+41.5</f>
        <v>150.5</v>
      </c>
      <c r="AK29" s="19">
        <f>228</f>
        <v>228</v>
      </c>
      <c r="AL29" s="19">
        <f>861.5</f>
        <v>861.5</v>
      </c>
      <c r="AM29" s="19">
        <f>159</f>
        <v>159</v>
      </c>
      <c r="AN29" s="19"/>
      <c r="AO29" s="19">
        <f>-19</f>
        <v>-19</v>
      </c>
      <c r="AP29" s="19"/>
      <c r="AQ29" s="19">
        <f>21</f>
        <v>21</v>
      </c>
      <c r="AR29" s="19"/>
      <c r="AS29" s="19">
        <f>378</f>
        <v>378</v>
      </c>
      <c r="AT29" s="19"/>
      <c r="AU29" s="19"/>
      <c r="AV29" s="19"/>
      <c r="AW29" s="19">
        <f>65</f>
        <v>65</v>
      </c>
      <c r="AX29" s="19">
        <f>1088.5</f>
        <v>1088.5</v>
      </c>
      <c r="AY29" s="19">
        <f>651</f>
        <v>651</v>
      </c>
      <c r="AZ29" s="19"/>
      <c r="BA29" s="20"/>
      <c r="BB29" s="19">
        <f>96</f>
        <v>96</v>
      </c>
      <c r="BC29" s="19">
        <f>161</f>
        <v>161</v>
      </c>
      <c r="BD29" s="19">
        <f t="shared" si="0"/>
        <v>22962.5</v>
      </c>
    </row>
    <row r="30" spans="2:83" s="5" customFormat="1" ht="15" customHeight="1" thickBot="1">
      <c r="B30" s="48"/>
      <c r="C30" s="53"/>
      <c r="D30" s="53"/>
      <c r="E30" s="53"/>
      <c r="F30" s="53"/>
      <c r="G30" s="20"/>
      <c r="H30" s="20"/>
      <c r="I30" s="20"/>
      <c r="J30" s="20"/>
      <c r="K30" s="20"/>
      <c r="L30" s="20"/>
      <c r="M30" s="20"/>
      <c r="N30" s="20"/>
      <c r="O30" s="19"/>
      <c r="P30" s="19"/>
      <c r="Q30" s="20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20"/>
      <c r="BB30" s="19"/>
      <c r="BC30" s="19"/>
      <c r="BD30" s="19">
        <f t="shared" si="0"/>
        <v>0</v>
      </c>
    </row>
    <row r="31" spans="2:83" ht="15" customHeight="1" thickBot="1">
      <c r="B31" s="85" t="s">
        <v>30</v>
      </c>
      <c r="C31" s="86"/>
      <c r="D31" s="2"/>
      <c r="E31" s="2"/>
      <c r="F31" s="2"/>
      <c r="G31" s="21">
        <f t="shared" ref="G31:AL31" si="1">SUM(G7:G30)</f>
        <v>27002.5</v>
      </c>
      <c r="H31" s="21">
        <f t="shared" si="1"/>
        <v>3412</v>
      </c>
      <c r="I31" s="21">
        <f t="shared" si="1"/>
        <v>9453</v>
      </c>
      <c r="J31" s="21">
        <f t="shared" si="1"/>
        <v>1739</v>
      </c>
      <c r="K31" s="21">
        <f t="shared" si="1"/>
        <v>29236.5</v>
      </c>
      <c r="L31" s="21">
        <f t="shared" si="1"/>
        <v>1399</v>
      </c>
      <c r="M31" s="21">
        <f t="shared" si="1"/>
        <v>12685.5</v>
      </c>
      <c r="N31" s="21">
        <f t="shared" si="1"/>
        <v>2781.5</v>
      </c>
      <c r="O31" s="21">
        <f t="shared" si="1"/>
        <v>18945</v>
      </c>
      <c r="P31" s="21">
        <f t="shared" si="1"/>
        <v>10614</v>
      </c>
      <c r="Q31" s="21">
        <f t="shared" si="1"/>
        <v>2031.5</v>
      </c>
      <c r="R31" s="21">
        <f t="shared" si="1"/>
        <v>18</v>
      </c>
      <c r="S31" s="21">
        <f t="shared" si="1"/>
        <v>731</v>
      </c>
      <c r="T31" s="21">
        <f t="shared" si="1"/>
        <v>4326</v>
      </c>
      <c r="U31" s="21">
        <f t="shared" si="1"/>
        <v>7385.5</v>
      </c>
      <c r="V31" s="21">
        <f t="shared" si="1"/>
        <v>3717.5</v>
      </c>
      <c r="W31" s="21">
        <f t="shared" si="1"/>
        <v>963.5</v>
      </c>
      <c r="X31" s="21">
        <f t="shared" si="1"/>
        <v>34600</v>
      </c>
      <c r="Y31" s="21">
        <f t="shared" si="1"/>
        <v>5677.5</v>
      </c>
      <c r="Z31" s="21">
        <f t="shared" si="1"/>
        <v>597.5</v>
      </c>
      <c r="AA31" s="21">
        <f t="shared" si="1"/>
        <v>2309.5</v>
      </c>
      <c r="AB31" s="21">
        <f t="shared" si="1"/>
        <v>0</v>
      </c>
      <c r="AC31" s="21">
        <f t="shared" si="1"/>
        <v>1124</v>
      </c>
      <c r="AD31" s="21">
        <f t="shared" si="1"/>
        <v>3445.5</v>
      </c>
      <c r="AE31" s="21">
        <f t="shared" si="1"/>
        <v>686</v>
      </c>
      <c r="AF31" s="21">
        <f t="shared" si="1"/>
        <v>8.5</v>
      </c>
      <c r="AG31" s="21">
        <f t="shared" si="1"/>
        <v>39672.5</v>
      </c>
      <c r="AH31" s="21">
        <f t="shared" si="1"/>
        <v>5598.5</v>
      </c>
      <c r="AI31" s="21">
        <f t="shared" si="1"/>
        <v>540</v>
      </c>
      <c r="AJ31" s="21">
        <f t="shared" si="1"/>
        <v>858</v>
      </c>
      <c r="AK31" s="21">
        <f t="shared" si="1"/>
        <v>331.5</v>
      </c>
      <c r="AL31" s="21">
        <f t="shared" si="1"/>
        <v>7632.5</v>
      </c>
      <c r="AM31" s="21">
        <f t="shared" ref="AM31:BC31" si="2">SUM(AM7:AM30)</f>
        <v>858</v>
      </c>
      <c r="AN31" s="21">
        <f t="shared" si="2"/>
        <v>0</v>
      </c>
      <c r="AO31" s="21">
        <f t="shared" si="2"/>
        <v>203.5</v>
      </c>
      <c r="AP31" s="21">
        <f t="shared" si="2"/>
        <v>19</v>
      </c>
      <c r="AQ31" s="21">
        <f t="shared" si="2"/>
        <v>580.5</v>
      </c>
      <c r="AR31" s="21">
        <f t="shared" si="2"/>
        <v>9.5</v>
      </c>
      <c r="AS31" s="21">
        <f t="shared" si="2"/>
        <v>1805</v>
      </c>
      <c r="AT31" s="21">
        <f t="shared" si="2"/>
        <v>405.5</v>
      </c>
      <c r="AU31" s="21">
        <f t="shared" si="2"/>
        <v>41</v>
      </c>
      <c r="AV31" s="21">
        <f t="shared" si="2"/>
        <v>501.5</v>
      </c>
      <c r="AW31" s="21">
        <f t="shared" si="2"/>
        <v>453.5</v>
      </c>
      <c r="AX31" s="21">
        <f t="shared" si="2"/>
        <v>62728.5</v>
      </c>
      <c r="AY31" s="21">
        <f t="shared" si="2"/>
        <v>7448.5</v>
      </c>
      <c r="AZ31" s="21">
        <f t="shared" si="2"/>
        <v>0</v>
      </c>
      <c r="BA31" s="21">
        <f t="shared" si="2"/>
        <v>0</v>
      </c>
      <c r="BB31" s="21">
        <f t="shared" si="2"/>
        <v>1096</v>
      </c>
      <c r="BC31" s="21">
        <f t="shared" si="2"/>
        <v>1267.5</v>
      </c>
      <c r="BD31" s="22">
        <f t="shared" si="0"/>
        <v>316940</v>
      </c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</row>
    <row r="32" spans="2:83" ht="15" customHeight="1">
      <c r="B32" s="5"/>
      <c r="C32" s="5"/>
      <c r="D32" s="5"/>
      <c r="E32" s="5"/>
      <c r="F32" s="5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</row>
    <row r="33" spans="2:83" ht="15" customHeight="1">
      <c r="B33" s="5"/>
      <c r="C33" s="5"/>
      <c r="D33" s="5"/>
      <c r="E33" s="5"/>
      <c r="F33" s="5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5"/>
      <c r="BF33" s="17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  <row r="34" spans="2:83" ht="15" customHeight="1">
      <c r="B34" s="5"/>
      <c r="C34" s="5"/>
      <c r="D34" s="5"/>
      <c r="E34" s="5"/>
      <c r="F34" s="5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5"/>
      <c r="BF34" s="17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</row>
    <row r="35" spans="2:83" ht="15" customHeight="1">
      <c r="B35" s="5"/>
      <c r="C35" s="5"/>
      <c r="D35" s="5"/>
      <c r="E35" s="5"/>
      <c r="F35" s="5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</row>
    <row r="36" spans="2:83" ht="15" customHeight="1">
      <c r="B36" s="5"/>
      <c r="C36" s="5"/>
      <c r="D36" s="5"/>
      <c r="E36" s="5"/>
      <c r="F36" s="5"/>
      <c r="O36" s="5"/>
      <c r="P36" s="5"/>
      <c r="R36" s="5"/>
      <c r="AB36" s="5"/>
      <c r="AC36" s="5"/>
      <c r="AD36" s="5"/>
      <c r="AO36" s="5"/>
      <c r="AP36" s="5"/>
      <c r="AR36" s="5"/>
      <c r="AS36" s="5"/>
      <c r="AT36" s="5"/>
      <c r="AU36" s="5"/>
      <c r="AV36" s="5"/>
      <c r="AW36" s="5"/>
      <c r="AX36" s="5"/>
      <c r="BA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</row>
    <row r="37" spans="2:83" ht="15" customHeight="1">
      <c r="B37" s="5"/>
      <c r="C37" s="5"/>
      <c r="D37" s="5"/>
      <c r="E37" s="5"/>
      <c r="F37" s="5"/>
      <c r="O37" s="5"/>
      <c r="P37" s="5"/>
      <c r="R37" s="5"/>
      <c r="AB37" s="5"/>
      <c r="AC37" s="5"/>
      <c r="AD37" s="5"/>
      <c r="AO37" s="5"/>
      <c r="AP37" s="5"/>
      <c r="AR37" s="5"/>
      <c r="AS37" s="5"/>
      <c r="AT37" s="5"/>
      <c r="AU37" s="5"/>
      <c r="AV37" s="5"/>
      <c r="AW37" s="5"/>
      <c r="AX37" s="5"/>
      <c r="BA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</row>
    <row r="38" spans="2:83" ht="15" customHeight="1">
      <c r="B38" s="5"/>
      <c r="C38" s="5"/>
      <c r="D38" s="5"/>
      <c r="E38" s="5"/>
      <c r="F38" s="5"/>
      <c r="O38" s="5"/>
      <c r="P38" s="5"/>
      <c r="R38" s="5"/>
      <c r="AB38" s="5"/>
      <c r="AC38" s="5"/>
      <c r="AD38" s="5"/>
      <c r="AO38" s="5"/>
      <c r="AP38" s="5"/>
      <c r="AR38" s="5"/>
      <c r="AS38" s="5"/>
      <c r="AT38" s="5"/>
      <c r="AU38" s="5"/>
      <c r="AV38" s="5"/>
      <c r="AW38" s="5"/>
      <c r="AX38" s="5"/>
      <c r="BA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</row>
    <row r="39" spans="2:83" ht="15" customHeight="1">
      <c r="B39" s="5"/>
      <c r="C39" s="5"/>
      <c r="D39" s="5"/>
      <c r="E39" s="5"/>
      <c r="F39" s="5"/>
      <c r="O39" s="5"/>
      <c r="P39" s="5"/>
      <c r="R39" s="5"/>
      <c r="AB39" s="5"/>
      <c r="AC39" s="5"/>
      <c r="AD39" s="5"/>
      <c r="AO39" s="5"/>
      <c r="AP39" s="5"/>
      <c r="AR39" s="5"/>
      <c r="AS39" s="5"/>
      <c r="AT39" s="5"/>
      <c r="AU39" s="5"/>
      <c r="AV39" s="5"/>
      <c r="AW39" s="5"/>
      <c r="AX39" s="5"/>
      <c r="BA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</row>
    <row r="40" spans="2:83" ht="15" customHeight="1">
      <c r="B40" s="5"/>
      <c r="C40" s="5"/>
      <c r="D40" s="5"/>
      <c r="E40" s="5"/>
      <c r="F40" s="5"/>
      <c r="O40" s="5"/>
      <c r="P40" s="5"/>
      <c r="R40" s="5"/>
      <c r="AB40" s="5"/>
      <c r="AC40" s="5"/>
      <c r="AD40" s="5"/>
      <c r="AO40" s="5"/>
      <c r="AP40" s="5"/>
      <c r="AR40" s="5"/>
      <c r="AS40" s="5"/>
      <c r="AT40" s="5"/>
      <c r="AU40" s="5"/>
      <c r="AV40" s="5"/>
      <c r="AW40" s="5"/>
      <c r="AX40" s="5"/>
      <c r="BA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</row>
    <row r="41" spans="2:83" ht="15" customHeight="1">
      <c r="B41" s="5"/>
      <c r="C41" s="5"/>
      <c r="D41" s="5"/>
      <c r="E41" s="5"/>
      <c r="F41" s="5"/>
      <c r="O41" s="5"/>
      <c r="P41" s="5"/>
      <c r="R41" s="5"/>
      <c r="AB41" s="5"/>
      <c r="AC41" s="5"/>
      <c r="AD41" s="5"/>
      <c r="AO41" s="5"/>
      <c r="AP41" s="5"/>
      <c r="AR41" s="5"/>
      <c r="AS41" s="5"/>
      <c r="AT41" s="5"/>
      <c r="AU41" s="5"/>
      <c r="AV41" s="5"/>
      <c r="AW41" s="5"/>
      <c r="AX41" s="5"/>
      <c r="BA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</row>
    <row r="42" spans="2:83" ht="15" customHeight="1">
      <c r="B42" s="5"/>
      <c r="C42" s="5"/>
      <c r="D42" s="5"/>
      <c r="E42" s="5"/>
      <c r="F42" s="5"/>
      <c r="O42" s="5"/>
      <c r="P42" s="5"/>
      <c r="R42" s="5"/>
      <c r="AB42" s="5"/>
      <c r="AC42" s="5"/>
      <c r="AD42" s="5"/>
      <c r="AO42" s="5"/>
      <c r="AP42" s="5"/>
      <c r="AR42" s="5"/>
      <c r="AS42" s="5"/>
      <c r="AT42" s="5"/>
      <c r="AU42" s="5"/>
      <c r="AV42" s="5"/>
      <c r="AW42" s="5"/>
      <c r="AX42" s="5"/>
      <c r="BA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</row>
    <row r="43" spans="2:83" ht="15" customHeight="1">
      <c r="B43" s="5"/>
      <c r="C43" s="5"/>
      <c r="D43" s="5"/>
      <c r="E43" s="5"/>
      <c r="F43" s="5"/>
      <c r="O43" s="5"/>
      <c r="P43" s="5"/>
      <c r="R43" s="5"/>
      <c r="AB43" s="5"/>
      <c r="AC43" s="5"/>
      <c r="AD43" s="5"/>
      <c r="AO43" s="5"/>
      <c r="AP43" s="5"/>
      <c r="AR43" s="5"/>
      <c r="AS43" s="5"/>
      <c r="AT43" s="5"/>
      <c r="AU43" s="5"/>
      <c r="AV43" s="5"/>
      <c r="AW43" s="5"/>
      <c r="AX43" s="5"/>
      <c r="BA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</row>
    <row r="44" spans="2:83" ht="15" customHeight="1">
      <c r="B44" s="5"/>
      <c r="C44" s="5"/>
      <c r="D44" s="5"/>
      <c r="E44" s="5"/>
      <c r="F44" s="5"/>
      <c r="O44" s="5"/>
      <c r="P44" s="5"/>
      <c r="R44" s="5"/>
      <c r="AB44" s="5"/>
      <c r="AC44" s="5"/>
      <c r="AD44" s="5"/>
      <c r="AO44" s="5"/>
      <c r="AP44" s="5"/>
      <c r="AR44" s="5"/>
      <c r="AS44" s="5"/>
      <c r="AT44" s="5"/>
      <c r="AU44" s="5"/>
      <c r="AV44" s="5"/>
      <c r="AW44" s="5"/>
      <c r="AX44" s="5"/>
      <c r="BA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</row>
    <row r="45" spans="2:83" ht="15" customHeight="1">
      <c r="B45" s="5"/>
      <c r="C45" s="5"/>
      <c r="D45" s="5"/>
      <c r="E45" s="5"/>
      <c r="F45" s="5"/>
      <c r="O45" s="5"/>
      <c r="P45" s="5"/>
      <c r="R45" s="5"/>
      <c r="AB45" s="5"/>
      <c r="AC45" s="5"/>
      <c r="AD45" s="5"/>
      <c r="AO45" s="5"/>
      <c r="AP45" s="5"/>
      <c r="AR45" s="5"/>
      <c r="AS45" s="5"/>
      <c r="AT45" s="5"/>
      <c r="AU45" s="5"/>
      <c r="AV45" s="5"/>
      <c r="AW45" s="5"/>
      <c r="AX45" s="5"/>
      <c r="BA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</row>
    <row r="46" spans="2:83" ht="15" customHeight="1">
      <c r="B46" s="5"/>
      <c r="C46" s="5"/>
      <c r="D46" s="5"/>
      <c r="E46" s="5"/>
      <c r="F46" s="5"/>
      <c r="O46" s="5"/>
      <c r="P46" s="5"/>
      <c r="R46" s="5"/>
      <c r="AB46" s="5"/>
      <c r="AC46" s="5"/>
      <c r="AD46" s="5"/>
      <c r="AO46" s="5"/>
      <c r="AP46" s="5"/>
      <c r="AR46" s="5"/>
      <c r="AS46" s="5"/>
      <c r="AT46" s="5"/>
      <c r="AU46" s="5"/>
      <c r="AV46" s="5"/>
      <c r="AW46" s="5"/>
      <c r="AX46" s="5"/>
      <c r="BA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</row>
    <row r="47" spans="2:83" ht="15" customHeight="1">
      <c r="B47" s="5"/>
      <c r="C47" s="5"/>
      <c r="D47" s="5"/>
      <c r="E47" s="5"/>
      <c r="F47" s="5"/>
      <c r="O47" s="5"/>
      <c r="P47" s="5"/>
      <c r="R47" s="5"/>
      <c r="AB47" s="5"/>
      <c r="AC47" s="5"/>
      <c r="AD47" s="5"/>
      <c r="AO47" s="5"/>
      <c r="AP47" s="5"/>
      <c r="AR47" s="5"/>
      <c r="AS47" s="5"/>
      <c r="AT47" s="5"/>
      <c r="AU47" s="5"/>
      <c r="AV47" s="5"/>
      <c r="AW47" s="5"/>
      <c r="AX47" s="5"/>
      <c r="BA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</row>
    <row r="48" spans="2:83" ht="15" customHeight="1">
      <c r="B48" s="5"/>
      <c r="C48" s="5"/>
      <c r="D48" s="5"/>
      <c r="E48" s="5"/>
      <c r="F48" s="5"/>
      <c r="O48" s="5"/>
      <c r="P48" s="5"/>
      <c r="R48" s="5"/>
      <c r="AB48" s="5"/>
      <c r="AC48" s="5"/>
      <c r="AD48" s="5"/>
      <c r="AO48" s="5"/>
      <c r="AP48" s="5"/>
      <c r="AR48" s="5"/>
      <c r="AS48" s="5"/>
      <c r="AT48" s="5"/>
      <c r="AU48" s="5"/>
      <c r="AV48" s="5"/>
      <c r="AW48" s="5"/>
      <c r="AX48" s="5"/>
      <c r="BA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</row>
    <row r="49" spans="2:83" ht="15" customHeight="1">
      <c r="B49" s="5"/>
      <c r="C49" s="5"/>
      <c r="D49" s="5"/>
      <c r="E49" s="5"/>
      <c r="F49" s="5"/>
      <c r="O49" s="5"/>
      <c r="P49" s="5"/>
      <c r="R49" s="5"/>
      <c r="AB49" s="5"/>
      <c r="AC49" s="5"/>
      <c r="AD49" s="5"/>
      <c r="AO49" s="5"/>
      <c r="AP49" s="5"/>
      <c r="AR49" s="5"/>
      <c r="AS49" s="5"/>
      <c r="AT49" s="5"/>
      <c r="AU49" s="5"/>
      <c r="AV49" s="5"/>
      <c r="AW49" s="5"/>
      <c r="AX49" s="5"/>
      <c r="BA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</row>
    <row r="50" spans="2:83" ht="15" customHeight="1">
      <c r="B50" s="5"/>
      <c r="C50" s="5"/>
      <c r="D50" s="5"/>
      <c r="E50" s="5"/>
      <c r="F50" s="5"/>
      <c r="O50" s="5"/>
      <c r="P50" s="5"/>
      <c r="R50" s="5"/>
      <c r="AB50" s="5"/>
      <c r="AC50" s="5"/>
      <c r="AD50" s="5"/>
      <c r="AO50" s="5"/>
      <c r="AP50" s="5"/>
      <c r="AR50" s="5"/>
      <c r="AS50" s="5"/>
      <c r="AT50" s="5"/>
      <c r="AU50" s="5"/>
      <c r="AV50" s="5"/>
      <c r="AW50" s="5"/>
      <c r="AX50" s="5"/>
      <c r="BA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</row>
    <row r="51" spans="2:83" ht="15" customHeight="1">
      <c r="B51" s="5"/>
      <c r="C51" s="5"/>
      <c r="D51" s="5"/>
      <c r="E51" s="5"/>
      <c r="F51" s="5"/>
      <c r="O51" s="5"/>
      <c r="P51" s="5"/>
      <c r="R51" s="5"/>
      <c r="AB51" s="5"/>
      <c r="AC51" s="5"/>
      <c r="AD51" s="5"/>
      <c r="AO51" s="5"/>
      <c r="AP51" s="5"/>
      <c r="AR51" s="5"/>
      <c r="AS51" s="5"/>
      <c r="AT51" s="5"/>
      <c r="AU51" s="5"/>
      <c r="AV51" s="5"/>
      <c r="AW51" s="5"/>
      <c r="AX51" s="5"/>
      <c r="BA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</row>
    <row r="52" spans="2:83" ht="15" customHeight="1">
      <c r="B52" s="5"/>
      <c r="C52" s="5"/>
      <c r="D52" s="5"/>
      <c r="E52" s="5"/>
      <c r="F52" s="5"/>
      <c r="O52" s="5"/>
      <c r="P52" s="5"/>
      <c r="R52" s="5"/>
      <c r="AB52" s="5"/>
      <c r="AC52" s="5"/>
      <c r="AD52" s="5"/>
      <c r="AO52" s="5"/>
      <c r="AP52" s="5"/>
      <c r="AR52" s="5"/>
      <c r="AS52" s="5"/>
      <c r="AT52" s="5"/>
      <c r="AU52" s="5"/>
      <c r="AV52" s="5"/>
      <c r="AW52" s="5"/>
      <c r="AX52" s="5"/>
      <c r="BA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</row>
    <row r="53" spans="2:83" ht="15" customHeight="1">
      <c r="B53" s="5"/>
      <c r="C53" s="5"/>
      <c r="D53" s="5"/>
      <c r="E53" s="5"/>
      <c r="F53" s="5"/>
      <c r="O53" s="5"/>
      <c r="P53" s="5"/>
      <c r="R53" s="5"/>
      <c r="AB53" s="5"/>
      <c r="AC53" s="5"/>
      <c r="AD53" s="5"/>
      <c r="AO53" s="5"/>
      <c r="AP53" s="5"/>
      <c r="AR53" s="5"/>
      <c r="AS53" s="5"/>
      <c r="AT53" s="5"/>
      <c r="AU53" s="5"/>
      <c r="AV53" s="5"/>
      <c r="AW53" s="5"/>
      <c r="AX53" s="5"/>
      <c r="BA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</row>
    <row r="54" spans="2:83" ht="15" customHeight="1">
      <c r="B54" s="5"/>
      <c r="C54" s="5"/>
      <c r="D54" s="5"/>
      <c r="E54" s="5"/>
      <c r="F54" s="5"/>
      <c r="O54" s="5"/>
      <c r="P54" s="5"/>
      <c r="R54" s="5"/>
      <c r="AB54" s="5"/>
      <c r="AC54" s="5"/>
      <c r="AD54" s="5"/>
      <c r="AO54" s="5"/>
      <c r="AP54" s="5"/>
      <c r="AR54" s="5"/>
      <c r="AS54" s="5"/>
      <c r="AT54" s="5"/>
      <c r="AU54" s="5"/>
      <c r="AV54" s="5"/>
      <c r="AW54" s="5"/>
      <c r="AX54" s="5"/>
      <c r="BA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</row>
    <row r="55" spans="2:83" ht="15" customHeight="1">
      <c r="B55" s="5"/>
      <c r="C55" s="5"/>
      <c r="D55" s="5"/>
      <c r="E55" s="5"/>
      <c r="F55" s="5"/>
      <c r="O55" s="5"/>
      <c r="P55" s="5"/>
      <c r="R55" s="5"/>
      <c r="AB55" s="5"/>
      <c r="AC55" s="5"/>
      <c r="AD55" s="5"/>
      <c r="AO55" s="5"/>
      <c r="AP55" s="5"/>
      <c r="AR55" s="5"/>
      <c r="AS55" s="5"/>
      <c r="AT55" s="5"/>
      <c r="AU55" s="5"/>
      <c r="AV55" s="5"/>
      <c r="AW55" s="5"/>
      <c r="AX55" s="5"/>
      <c r="BA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</row>
    <row r="56" spans="2:83" ht="15" customHeight="1">
      <c r="B56" s="5"/>
      <c r="C56" s="5"/>
      <c r="D56" s="5"/>
      <c r="E56" s="5"/>
      <c r="F56" s="5"/>
      <c r="O56" s="5"/>
      <c r="P56" s="5"/>
      <c r="R56" s="5"/>
      <c r="AB56" s="5"/>
      <c r="AC56" s="5"/>
      <c r="AD56" s="5"/>
      <c r="AO56" s="5"/>
      <c r="AP56" s="5"/>
      <c r="AR56" s="5"/>
      <c r="AS56" s="5"/>
      <c r="AT56" s="5"/>
      <c r="AU56" s="5"/>
      <c r="AV56" s="5"/>
      <c r="AW56" s="5"/>
      <c r="AX56" s="5"/>
      <c r="BA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</row>
    <row r="57" spans="2:83" ht="15" customHeight="1">
      <c r="B57" s="5"/>
      <c r="C57" s="5"/>
      <c r="D57" s="5"/>
      <c r="E57" s="5"/>
      <c r="F57" s="5"/>
      <c r="O57" s="5"/>
      <c r="P57" s="5"/>
      <c r="R57" s="5"/>
      <c r="AB57" s="5"/>
      <c r="AC57" s="5"/>
      <c r="AD57" s="5"/>
      <c r="AO57" s="5"/>
      <c r="AP57" s="5"/>
      <c r="AR57" s="5"/>
      <c r="AS57" s="5"/>
      <c r="AT57" s="5"/>
      <c r="AU57" s="5"/>
      <c r="AV57" s="5"/>
      <c r="AW57" s="5"/>
      <c r="AX57" s="5"/>
      <c r="BA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</row>
    <row r="58" spans="2:83" ht="15" customHeight="1">
      <c r="B58" s="5"/>
      <c r="C58" s="5"/>
      <c r="D58" s="5"/>
      <c r="E58" s="5"/>
      <c r="F58" s="5"/>
      <c r="O58" s="5"/>
      <c r="P58" s="5"/>
      <c r="R58" s="5"/>
      <c r="AB58" s="5"/>
      <c r="AC58" s="5"/>
      <c r="AD58" s="5"/>
      <c r="AO58" s="5"/>
      <c r="AP58" s="5"/>
      <c r="AR58" s="5"/>
      <c r="AS58" s="5"/>
      <c r="AT58" s="5"/>
      <c r="AU58" s="5"/>
      <c r="AV58" s="5"/>
      <c r="AW58" s="5"/>
      <c r="AX58" s="5"/>
      <c r="BA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</row>
    <row r="59" spans="2:83" ht="15" customHeight="1">
      <c r="B59" s="5"/>
      <c r="C59" s="5"/>
      <c r="D59" s="5"/>
      <c r="E59" s="5"/>
      <c r="F59" s="5"/>
      <c r="O59" s="5"/>
      <c r="P59" s="5"/>
      <c r="R59" s="5"/>
      <c r="AB59" s="5"/>
      <c r="AC59" s="5"/>
      <c r="AD59" s="5"/>
      <c r="AO59" s="5"/>
      <c r="AP59" s="5"/>
      <c r="AR59" s="5"/>
      <c r="AS59" s="5"/>
      <c r="AT59" s="5"/>
      <c r="AU59" s="5"/>
      <c r="AV59" s="5"/>
      <c r="AW59" s="5"/>
      <c r="AX59" s="5"/>
      <c r="BA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</row>
    <row r="60" spans="2:83" ht="15" customHeight="1">
      <c r="B60" s="5"/>
      <c r="C60" s="5"/>
      <c r="D60" s="5"/>
      <c r="E60" s="5"/>
      <c r="F60" s="5"/>
      <c r="O60" s="5"/>
      <c r="P60" s="5"/>
      <c r="R60" s="5"/>
      <c r="AB60" s="5"/>
      <c r="AC60" s="5"/>
      <c r="AD60" s="5"/>
      <c r="AO60" s="5"/>
      <c r="AP60" s="5"/>
      <c r="AR60" s="5"/>
      <c r="AS60" s="5"/>
      <c r="AT60" s="5"/>
      <c r="AU60" s="5"/>
      <c r="AV60" s="5"/>
      <c r="AW60" s="5"/>
      <c r="AX60" s="5"/>
      <c r="BA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</row>
    <row r="61" spans="2:83" ht="15" customHeight="1">
      <c r="B61" s="5"/>
      <c r="C61" s="5"/>
      <c r="D61" s="5"/>
      <c r="E61" s="5"/>
      <c r="F61" s="5"/>
      <c r="O61" s="5"/>
      <c r="P61" s="5"/>
      <c r="R61" s="5"/>
      <c r="AB61" s="5"/>
      <c r="AC61" s="5"/>
      <c r="AD61" s="5"/>
      <c r="AO61" s="5"/>
      <c r="AP61" s="5"/>
      <c r="AR61" s="5"/>
      <c r="AS61" s="5"/>
      <c r="AT61" s="5"/>
      <c r="AU61" s="5"/>
      <c r="AV61" s="5"/>
      <c r="AW61" s="5"/>
      <c r="AX61" s="5"/>
      <c r="BA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</row>
    <row r="62" spans="2:83" ht="15" customHeight="1">
      <c r="B62" s="5"/>
      <c r="C62" s="5"/>
      <c r="D62" s="5"/>
      <c r="E62" s="5"/>
      <c r="F62" s="5"/>
      <c r="O62" s="5"/>
      <c r="P62" s="5"/>
      <c r="R62" s="5"/>
      <c r="AB62" s="5"/>
      <c r="AC62" s="5"/>
      <c r="AD62" s="5"/>
      <c r="AO62" s="5"/>
      <c r="AP62" s="5"/>
      <c r="AR62" s="5"/>
      <c r="AS62" s="5"/>
      <c r="AT62" s="5"/>
      <c r="AU62" s="5"/>
      <c r="AV62" s="5"/>
      <c r="AW62" s="5"/>
      <c r="AX62" s="5"/>
      <c r="BA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</row>
    <row r="63" spans="2:83" ht="15" customHeight="1">
      <c r="B63" s="5"/>
      <c r="C63" s="5"/>
      <c r="D63" s="5"/>
      <c r="E63" s="5"/>
      <c r="F63" s="5"/>
      <c r="O63" s="5"/>
      <c r="P63" s="5"/>
      <c r="R63" s="5"/>
      <c r="AB63" s="5"/>
      <c r="AC63" s="5"/>
      <c r="AD63" s="5"/>
      <c r="AO63" s="5"/>
      <c r="AP63" s="5"/>
      <c r="AR63" s="5"/>
      <c r="AS63" s="5"/>
      <c r="AT63" s="5"/>
      <c r="AU63" s="5"/>
      <c r="AV63" s="5"/>
      <c r="AW63" s="5"/>
      <c r="AX63" s="5"/>
      <c r="BA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</row>
    <row r="64" spans="2:83" ht="15" customHeight="1">
      <c r="B64" s="5"/>
      <c r="C64" s="5"/>
      <c r="D64" s="5"/>
      <c r="E64" s="5"/>
      <c r="F64" s="5"/>
      <c r="O64" s="5"/>
      <c r="P64" s="5"/>
      <c r="R64" s="5"/>
      <c r="AB64" s="5"/>
      <c r="AC64" s="5"/>
      <c r="AD64" s="5"/>
      <c r="AO64" s="5"/>
      <c r="AP64" s="5"/>
      <c r="AR64" s="5"/>
      <c r="AS64" s="5"/>
      <c r="AT64" s="5"/>
      <c r="AU64" s="5"/>
      <c r="AV64" s="5"/>
      <c r="AW64" s="5"/>
      <c r="AX64" s="5"/>
      <c r="BA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</row>
    <row r="65" spans="2:83" ht="15" customHeight="1">
      <c r="B65" s="5"/>
      <c r="C65" s="5"/>
      <c r="D65" s="5"/>
      <c r="E65" s="5"/>
      <c r="F65" s="5"/>
      <c r="O65" s="5"/>
      <c r="P65" s="5"/>
      <c r="R65" s="5"/>
      <c r="AB65" s="5"/>
      <c r="AC65" s="5"/>
      <c r="AD65" s="5"/>
      <c r="AO65" s="5"/>
      <c r="AP65" s="5"/>
      <c r="AR65" s="5"/>
      <c r="AS65" s="5"/>
      <c r="AT65" s="5"/>
      <c r="AU65" s="5"/>
      <c r="AV65" s="5"/>
      <c r="AW65" s="5"/>
      <c r="AX65" s="5"/>
      <c r="BA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</row>
    <row r="66" spans="2:83" ht="15" customHeight="1">
      <c r="B66" s="5"/>
      <c r="C66" s="5"/>
      <c r="D66" s="5"/>
      <c r="E66" s="5"/>
      <c r="F66" s="5"/>
      <c r="O66" s="5"/>
      <c r="P66" s="5"/>
      <c r="R66" s="5"/>
      <c r="AB66" s="5"/>
      <c r="AC66" s="5"/>
      <c r="AD66" s="5"/>
      <c r="AO66" s="5"/>
      <c r="AP66" s="5"/>
      <c r="AR66" s="5"/>
      <c r="AS66" s="5"/>
      <c r="AT66" s="5"/>
      <c r="AU66" s="5"/>
      <c r="AV66" s="5"/>
      <c r="AW66" s="5"/>
      <c r="AX66" s="5"/>
      <c r="BA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</row>
    <row r="67" spans="2:83" ht="15" customHeight="1">
      <c r="B67" s="5"/>
      <c r="C67" s="5"/>
      <c r="D67" s="5"/>
      <c r="E67" s="5"/>
      <c r="F67" s="5"/>
      <c r="O67" s="5"/>
      <c r="P67" s="5"/>
      <c r="R67" s="5"/>
      <c r="AB67" s="5"/>
      <c r="AC67" s="5"/>
      <c r="AD67" s="5"/>
      <c r="AO67" s="5"/>
      <c r="AP67" s="5"/>
      <c r="AR67" s="5"/>
      <c r="AS67" s="5"/>
      <c r="AT67" s="5"/>
      <c r="AU67" s="5"/>
      <c r="AV67" s="5"/>
      <c r="AW67" s="5"/>
      <c r="AX67" s="5"/>
      <c r="BA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</row>
    <row r="68" spans="2:83" ht="15" customHeight="1">
      <c r="B68" s="5"/>
      <c r="C68" s="5"/>
      <c r="D68" s="5"/>
      <c r="E68" s="5"/>
      <c r="F68" s="5"/>
      <c r="O68" s="5"/>
      <c r="P68" s="5"/>
      <c r="R68" s="5"/>
      <c r="AB68" s="5"/>
      <c r="AC68" s="5"/>
      <c r="AD68" s="5"/>
      <c r="AO68" s="5"/>
      <c r="AP68" s="5"/>
      <c r="AR68" s="5"/>
      <c r="AS68" s="5"/>
      <c r="AT68" s="5"/>
      <c r="AU68" s="5"/>
      <c r="AV68" s="5"/>
      <c r="AW68" s="5"/>
      <c r="AX68" s="5"/>
      <c r="BA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</row>
    <row r="69" spans="2:83" ht="15" customHeight="1">
      <c r="B69" s="5"/>
      <c r="C69" s="5"/>
      <c r="D69" s="5"/>
      <c r="E69" s="5"/>
      <c r="F69" s="5"/>
      <c r="O69" s="5"/>
      <c r="P69" s="5"/>
      <c r="R69" s="5"/>
      <c r="AB69" s="5"/>
      <c r="AC69" s="5"/>
      <c r="AD69" s="5"/>
      <c r="AO69" s="5"/>
      <c r="AP69" s="5"/>
      <c r="AR69" s="5"/>
      <c r="AS69" s="5"/>
      <c r="AT69" s="5"/>
      <c r="AU69" s="5"/>
      <c r="AV69" s="5"/>
      <c r="AW69" s="5"/>
      <c r="AX69" s="5"/>
      <c r="BA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</row>
    <row r="70" spans="2:83" ht="15" customHeight="1">
      <c r="B70" s="5"/>
      <c r="C70" s="5"/>
      <c r="D70" s="5"/>
      <c r="E70" s="5"/>
      <c r="F70" s="5"/>
      <c r="O70" s="5"/>
      <c r="P70" s="5"/>
      <c r="R70" s="5"/>
      <c r="AB70" s="5"/>
      <c r="AC70" s="5"/>
      <c r="AD70" s="5"/>
      <c r="AO70" s="5"/>
      <c r="AP70" s="5"/>
      <c r="AR70" s="5"/>
      <c r="AS70" s="5"/>
      <c r="AT70" s="5"/>
      <c r="AU70" s="5"/>
      <c r="AV70" s="5"/>
      <c r="AW70" s="5"/>
      <c r="AX70" s="5"/>
      <c r="BA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</row>
    <row r="71" spans="2:83" ht="15" customHeight="1">
      <c r="B71" s="5"/>
      <c r="C71" s="5"/>
      <c r="D71" s="5"/>
      <c r="E71" s="5"/>
      <c r="F71" s="5"/>
      <c r="O71" s="5"/>
      <c r="P71" s="5"/>
      <c r="R71" s="5"/>
      <c r="AB71" s="5"/>
      <c r="AC71" s="5"/>
      <c r="AD71" s="5"/>
      <c r="AO71" s="5"/>
      <c r="AP71" s="5"/>
      <c r="AR71" s="5"/>
      <c r="AS71" s="5"/>
      <c r="AT71" s="5"/>
      <c r="AU71" s="5"/>
      <c r="AV71" s="5"/>
      <c r="AW71" s="5"/>
      <c r="AX71" s="5"/>
      <c r="BA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</row>
    <row r="72" spans="2:83" ht="15" customHeight="1">
      <c r="B72" s="5"/>
      <c r="C72" s="5"/>
      <c r="D72" s="5"/>
      <c r="E72" s="5"/>
      <c r="F72" s="5"/>
      <c r="O72" s="5"/>
      <c r="P72" s="5"/>
      <c r="R72" s="5"/>
      <c r="AB72" s="5"/>
      <c r="AC72" s="5"/>
      <c r="AD72" s="5"/>
      <c r="AO72" s="5"/>
      <c r="AP72" s="5"/>
      <c r="AR72" s="5"/>
      <c r="AS72" s="5"/>
      <c r="AT72" s="5"/>
      <c r="AU72" s="5"/>
      <c r="AV72" s="5"/>
      <c r="AW72" s="5"/>
      <c r="AX72" s="5"/>
      <c r="BA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</row>
    <row r="73" spans="2:83" ht="15" customHeight="1">
      <c r="B73" s="5"/>
      <c r="C73" s="5"/>
      <c r="D73" s="5"/>
      <c r="E73" s="5"/>
      <c r="F73" s="5"/>
      <c r="O73" s="5"/>
      <c r="P73" s="5"/>
      <c r="R73" s="5"/>
      <c r="AB73" s="5"/>
      <c r="AC73" s="5"/>
      <c r="AD73" s="5"/>
      <c r="AO73" s="5"/>
      <c r="AP73" s="5"/>
      <c r="AR73" s="5"/>
      <c r="AS73" s="5"/>
      <c r="AT73" s="5"/>
      <c r="AU73" s="5"/>
      <c r="AV73" s="5"/>
      <c r="AW73" s="5"/>
      <c r="AX73" s="5"/>
      <c r="BA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</row>
    <row r="74" spans="2:83" ht="15" customHeight="1">
      <c r="B74" s="5"/>
      <c r="C74" s="5"/>
      <c r="D74" s="5"/>
      <c r="E74" s="5"/>
      <c r="F74" s="5"/>
      <c r="O74" s="5"/>
      <c r="P74" s="5"/>
      <c r="R74" s="5"/>
      <c r="AB74" s="5"/>
      <c r="AC74" s="5"/>
      <c r="AD74" s="5"/>
      <c r="AO74" s="5"/>
      <c r="AP74" s="5"/>
      <c r="AR74" s="5"/>
      <c r="AS74" s="5"/>
      <c r="AT74" s="5"/>
      <c r="AU74" s="5"/>
      <c r="AV74" s="5"/>
      <c r="AW74" s="5"/>
      <c r="AX74" s="5"/>
      <c r="BA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</row>
    <row r="75" spans="2:83" ht="15" customHeight="1">
      <c r="B75" s="5"/>
      <c r="C75" s="5"/>
      <c r="D75" s="5"/>
      <c r="E75" s="5"/>
      <c r="F75" s="5"/>
      <c r="O75" s="5"/>
      <c r="P75" s="5"/>
      <c r="R75" s="5"/>
      <c r="AB75" s="5"/>
      <c r="AC75" s="5"/>
      <c r="AD75" s="5"/>
      <c r="AO75" s="5"/>
      <c r="AP75" s="5"/>
      <c r="AR75" s="5"/>
      <c r="AS75" s="5"/>
      <c r="AT75" s="5"/>
      <c r="AU75" s="5"/>
      <c r="AV75" s="5"/>
      <c r="AW75" s="5"/>
      <c r="AX75" s="5"/>
      <c r="BA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</row>
    <row r="76" spans="2:83" ht="15" customHeight="1">
      <c r="B76" s="5"/>
      <c r="C76" s="5"/>
      <c r="D76" s="5"/>
      <c r="E76" s="5"/>
      <c r="F76" s="5"/>
      <c r="O76" s="5"/>
      <c r="P76" s="5"/>
      <c r="R76" s="5"/>
      <c r="AB76" s="5"/>
      <c r="AC76" s="5"/>
      <c r="AD76" s="5"/>
      <c r="AO76" s="5"/>
      <c r="AP76" s="5"/>
      <c r="AR76" s="5"/>
      <c r="AS76" s="5"/>
      <c r="AT76" s="5"/>
      <c r="AU76" s="5"/>
      <c r="AV76" s="5"/>
      <c r="AW76" s="5"/>
      <c r="AX76" s="5"/>
      <c r="BA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</row>
    <row r="77" spans="2:83" ht="15" customHeight="1">
      <c r="B77" s="5"/>
      <c r="C77" s="5"/>
      <c r="D77" s="5"/>
      <c r="E77" s="5"/>
      <c r="F77" s="5"/>
      <c r="O77" s="5"/>
      <c r="P77" s="5"/>
      <c r="R77" s="5"/>
      <c r="AB77" s="5"/>
      <c r="AC77" s="5"/>
      <c r="AD77" s="5"/>
      <c r="AO77" s="5"/>
      <c r="AP77" s="5"/>
      <c r="AR77" s="5"/>
      <c r="AS77" s="5"/>
      <c r="AT77" s="5"/>
      <c r="AU77" s="5"/>
      <c r="AV77" s="5"/>
      <c r="AW77" s="5"/>
      <c r="AX77" s="5"/>
      <c r="BA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</row>
    <row r="78" spans="2:83" ht="15" customHeight="1">
      <c r="B78" s="5"/>
      <c r="C78" s="5"/>
      <c r="D78" s="5"/>
      <c r="E78" s="5"/>
      <c r="F78" s="5"/>
      <c r="O78" s="5"/>
      <c r="P78" s="5"/>
      <c r="R78" s="5"/>
      <c r="AB78" s="5"/>
      <c r="AC78" s="5"/>
      <c r="AD78" s="5"/>
      <c r="AO78" s="5"/>
      <c r="AP78" s="5"/>
      <c r="AR78" s="5"/>
      <c r="AS78" s="5"/>
      <c r="AT78" s="5"/>
      <c r="AU78" s="5"/>
      <c r="AV78" s="5"/>
      <c r="AW78" s="5"/>
      <c r="AX78" s="5"/>
      <c r="BA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</row>
    <row r="79" spans="2:83" ht="15" customHeight="1">
      <c r="B79" s="5"/>
      <c r="C79" s="5"/>
      <c r="D79" s="5"/>
      <c r="E79" s="5"/>
      <c r="F79" s="5"/>
      <c r="O79" s="5"/>
      <c r="P79" s="5"/>
      <c r="R79" s="5"/>
      <c r="AB79" s="5"/>
      <c r="AC79" s="5"/>
      <c r="AD79" s="5"/>
      <c r="AO79" s="5"/>
      <c r="AP79" s="5"/>
      <c r="AR79" s="5"/>
      <c r="AS79" s="5"/>
      <c r="AT79" s="5"/>
      <c r="AU79" s="5"/>
      <c r="AV79" s="5"/>
      <c r="AW79" s="5"/>
      <c r="AX79" s="5"/>
      <c r="BA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</row>
    <row r="80" spans="2:83" ht="15" customHeight="1">
      <c r="B80" s="5"/>
      <c r="C80" s="5"/>
      <c r="D80" s="5"/>
      <c r="E80" s="5"/>
      <c r="F80" s="5"/>
      <c r="O80" s="5"/>
      <c r="P80" s="5"/>
      <c r="R80" s="5"/>
      <c r="AB80" s="5"/>
      <c r="AC80" s="5"/>
      <c r="AD80" s="5"/>
      <c r="AO80" s="5"/>
      <c r="AP80" s="5"/>
      <c r="AR80" s="5"/>
      <c r="AS80" s="5"/>
      <c r="AT80" s="5"/>
      <c r="AU80" s="5"/>
      <c r="AV80" s="5"/>
      <c r="AW80" s="5"/>
      <c r="AX80" s="5"/>
      <c r="BA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</row>
    <row r="81" spans="2:83" ht="15" customHeight="1">
      <c r="B81" s="5"/>
      <c r="C81" s="5"/>
      <c r="D81" s="5"/>
      <c r="E81" s="5"/>
      <c r="F81" s="5"/>
      <c r="O81" s="5"/>
      <c r="P81" s="5"/>
      <c r="R81" s="5"/>
      <c r="AB81" s="5"/>
      <c r="AC81" s="5"/>
      <c r="AD81" s="5"/>
      <c r="AO81" s="5"/>
      <c r="AP81" s="5"/>
      <c r="AR81" s="5"/>
      <c r="AS81" s="5"/>
      <c r="AT81" s="5"/>
      <c r="AU81" s="5"/>
      <c r="AV81" s="5"/>
      <c r="AW81" s="5"/>
      <c r="AX81" s="5"/>
      <c r="BA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</row>
    <row r="82" spans="2:83" ht="15" customHeight="1">
      <c r="B82" s="5"/>
      <c r="C82" s="5"/>
      <c r="D82" s="5"/>
      <c r="E82" s="5"/>
      <c r="F82" s="5"/>
      <c r="O82" s="5"/>
      <c r="P82" s="5"/>
      <c r="R82" s="5"/>
      <c r="AB82" s="5"/>
      <c r="AC82" s="5"/>
      <c r="AD82" s="5"/>
      <c r="AO82" s="5"/>
      <c r="AP82" s="5"/>
      <c r="AR82" s="5"/>
      <c r="AS82" s="5"/>
      <c r="AT82" s="5"/>
      <c r="AU82" s="5"/>
      <c r="AV82" s="5"/>
      <c r="AW82" s="5"/>
      <c r="AX82" s="5"/>
      <c r="BA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</row>
    <row r="83" spans="2:83" ht="15" customHeight="1">
      <c r="B83" s="5"/>
      <c r="C83" s="5"/>
      <c r="D83" s="5"/>
      <c r="E83" s="5"/>
      <c r="F83" s="5"/>
      <c r="O83" s="5"/>
      <c r="P83" s="5"/>
      <c r="R83" s="5"/>
      <c r="AB83" s="5"/>
      <c r="AC83" s="5"/>
      <c r="AD83" s="5"/>
      <c r="AO83" s="5"/>
      <c r="AP83" s="5"/>
      <c r="AR83" s="5"/>
      <c r="AS83" s="5"/>
      <c r="AT83" s="5"/>
      <c r="AU83" s="5"/>
      <c r="AV83" s="5"/>
      <c r="AW83" s="5"/>
      <c r="AX83" s="5"/>
      <c r="BA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</row>
    <row r="84" spans="2:83" ht="15" customHeight="1">
      <c r="B84" s="5"/>
      <c r="C84" s="5"/>
      <c r="D84" s="5"/>
      <c r="E84" s="5"/>
      <c r="F84" s="5"/>
      <c r="O84" s="5"/>
      <c r="P84" s="5"/>
      <c r="R84" s="5"/>
      <c r="AB84" s="5"/>
      <c r="AC84" s="5"/>
      <c r="AD84" s="5"/>
      <c r="AO84" s="5"/>
      <c r="AP84" s="5"/>
      <c r="AR84" s="5"/>
      <c r="AS84" s="5"/>
      <c r="AT84" s="5"/>
      <c r="AU84" s="5"/>
      <c r="AV84" s="5"/>
      <c r="AW84" s="5"/>
      <c r="AX84" s="5"/>
      <c r="BA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</row>
    <row r="85" spans="2:83" ht="15" customHeight="1">
      <c r="B85" s="5"/>
      <c r="C85" s="5"/>
      <c r="D85" s="5"/>
      <c r="E85" s="5"/>
      <c r="F85" s="5"/>
      <c r="O85" s="5"/>
      <c r="P85" s="5"/>
      <c r="R85" s="5"/>
      <c r="AB85" s="5"/>
      <c r="AC85" s="5"/>
      <c r="AD85" s="5"/>
      <c r="AO85" s="5"/>
      <c r="AP85" s="5"/>
      <c r="AR85" s="5"/>
      <c r="AS85" s="5"/>
      <c r="AT85" s="5"/>
      <c r="AU85" s="5"/>
      <c r="AV85" s="5"/>
      <c r="AW85" s="5"/>
      <c r="AX85" s="5"/>
      <c r="BA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</row>
    <row r="86" spans="2:83" ht="15" customHeight="1">
      <c r="B86" s="5"/>
      <c r="C86" s="5"/>
      <c r="D86" s="5"/>
      <c r="E86" s="5"/>
      <c r="F86" s="5"/>
      <c r="O86" s="5"/>
      <c r="P86" s="5"/>
      <c r="R86" s="5"/>
      <c r="AB86" s="5"/>
      <c r="AC86" s="5"/>
      <c r="AD86" s="5"/>
      <c r="AO86" s="5"/>
      <c r="AP86" s="5"/>
      <c r="AR86" s="5"/>
      <c r="AS86" s="5"/>
      <c r="AT86" s="5"/>
      <c r="AU86" s="5"/>
      <c r="AV86" s="5"/>
      <c r="AW86" s="5"/>
      <c r="AX86" s="5"/>
      <c r="BA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</row>
    <row r="87" spans="2:83" ht="15" customHeight="1">
      <c r="B87" s="5"/>
      <c r="C87" s="5"/>
      <c r="D87" s="5"/>
      <c r="E87" s="5"/>
      <c r="F87" s="5"/>
      <c r="O87" s="5"/>
      <c r="P87" s="5"/>
      <c r="R87" s="5"/>
      <c r="AB87" s="5"/>
      <c r="AC87" s="5"/>
      <c r="AD87" s="5"/>
      <c r="AO87" s="5"/>
      <c r="AP87" s="5"/>
      <c r="AR87" s="5"/>
      <c r="AS87" s="5"/>
      <c r="AT87" s="5"/>
      <c r="AU87" s="5"/>
      <c r="AV87" s="5"/>
      <c r="AW87" s="5"/>
      <c r="AX87" s="5"/>
      <c r="BA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</row>
    <row r="88" spans="2:83" ht="15" customHeight="1">
      <c r="B88" s="5"/>
      <c r="C88" s="5"/>
      <c r="D88" s="5"/>
      <c r="E88" s="5"/>
      <c r="F88" s="5"/>
      <c r="O88" s="5"/>
      <c r="P88" s="5"/>
      <c r="R88" s="5"/>
      <c r="AB88" s="5"/>
      <c r="AC88" s="5"/>
      <c r="AD88" s="5"/>
      <c r="AO88" s="5"/>
      <c r="AP88" s="5"/>
      <c r="AR88" s="5"/>
      <c r="AS88" s="5"/>
      <c r="AT88" s="5"/>
      <c r="AU88" s="5"/>
      <c r="AV88" s="5"/>
      <c r="AW88" s="5"/>
      <c r="AX88" s="5"/>
      <c r="BA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</row>
    <row r="89" spans="2:83" ht="15" customHeight="1">
      <c r="B89" s="5"/>
      <c r="C89" s="5"/>
      <c r="D89" s="5"/>
      <c r="E89" s="5"/>
      <c r="F89" s="5"/>
      <c r="O89" s="5"/>
      <c r="P89" s="5"/>
      <c r="R89" s="5"/>
      <c r="AB89" s="5"/>
      <c r="AC89" s="5"/>
      <c r="AD89" s="5"/>
      <c r="AO89" s="5"/>
      <c r="AP89" s="5"/>
      <c r="AR89" s="5"/>
      <c r="AS89" s="5"/>
      <c r="AT89" s="5"/>
      <c r="AU89" s="5"/>
      <c r="AV89" s="5"/>
      <c r="AW89" s="5"/>
      <c r="AX89" s="5"/>
      <c r="BA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</row>
    <row r="90" spans="2:83" ht="15" customHeight="1">
      <c r="B90" s="5"/>
      <c r="C90" s="5"/>
      <c r="D90" s="5"/>
      <c r="E90" s="5"/>
      <c r="F90" s="5"/>
      <c r="O90" s="5"/>
      <c r="P90" s="5"/>
      <c r="R90" s="5"/>
      <c r="AB90" s="5"/>
      <c r="AC90" s="5"/>
      <c r="AD90" s="5"/>
      <c r="AO90" s="5"/>
      <c r="AP90" s="5"/>
      <c r="AR90" s="5"/>
      <c r="AS90" s="5"/>
      <c r="AT90" s="5"/>
      <c r="AU90" s="5"/>
      <c r="AV90" s="5"/>
      <c r="AW90" s="5"/>
      <c r="AX90" s="5"/>
      <c r="BA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</row>
    <row r="91" spans="2:83" ht="15" customHeight="1">
      <c r="B91" s="5"/>
      <c r="C91" s="5"/>
      <c r="D91" s="5"/>
      <c r="E91" s="5"/>
      <c r="F91" s="5"/>
      <c r="O91" s="5"/>
      <c r="P91" s="5"/>
      <c r="R91" s="5"/>
      <c r="AB91" s="5"/>
      <c r="AC91" s="5"/>
      <c r="AD91" s="5"/>
      <c r="AO91" s="5"/>
      <c r="AP91" s="5"/>
      <c r="AR91" s="5"/>
      <c r="AS91" s="5"/>
      <c r="AT91" s="5"/>
      <c r="AU91" s="5"/>
      <c r="AV91" s="5"/>
      <c r="AW91" s="5"/>
      <c r="AX91" s="5"/>
      <c r="BA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</row>
    <row r="92" spans="2:83" ht="15" customHeight="1">
      <c r="B92" s="5"/>
      <c r="C92" s="5"/>
      <c r="D92" s="5"/>
      <c r="E92" s="5"/>
      <c r="F92" s="5"/>
      <c r="O92" s="5"/>
      <c r="P92" s="5"/>
      <c r="R92" s="5"/>
      <c r="AB92" s="5"/>
      <c r="AC92" s="5"/>
      <c r="AD92" s="5"/>
      <c r="AO92" s="5"/>
      <c r="AP92" s="5"/>
      <c r="AR92" s="5"/>
      <c r="AS92" s="5"/>
      <c r="AT92" s="5"/>
      <c r="AU92" s="5"/>
      <c r="AV92" s="5"/>
      <c r="AW92" s="5"/>
      <c r="AX92" s="5"/>
      <c r="BA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</row>
    <row r="93" spans="2:83" ht="15" customHeight="1">
      <c r="B93" s="5"/>
      <c r="C93" s="5"/>
      <c r="D93" s="5"/>
      <c r="E93" s="5"/>
      <c r="F93" s="5"/>
      <c r="O93" s="5"/>
      <c r="P93" s="5"/>
      <c r="R93" s="5"/>
      <c r="AB93" s="5"/>
      <c r="AC93" s="5"/>
      <c r="AD93" s="5"/>
      <c r="AO93" s="5"/>
      <c r="AP93" s="5"/>
      <c r="AR93" s="5"/>
      <c r="AS93" s="5"/>
      <c r="AT93" s="5"/>
      <c r="AU93" s="5"/>
      <c r="AV93" s="5"/>
      <c r="AW93" s="5"/>
      <c r="AX93" s="5"/>
      <c r="BA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</row>
    <row r="94" spans="2:83" ht="15" customHeight="1">
      <c r="B94" s="5"/>
      <c r="C94" s="5"/>
      <c r="D94" s="5"/>
      <c r="E94" s="5"/>
      <c r="F94" s="5"/>
      <c r="O94" s="5"/>
      <c r="P94" s="5"/>
      <c r="R94" s="5"/>
      <c r="AB94" s="5"/>
      <c r="AC94" s="5"/>
      <c r="AD94" s="5"/>
      <c r="AO94" s="5"/>
      <c r="AP94" s="5"/>
      <c r="AR94" s="5"/>
      <c r="AS94" s="5"/>
      <c r="AT94" s="5"/>
      <c r="AU94" s="5"/>
      <c r="AV94" s="5"/>
      <c r="AW94" s="5"/>
      <c r="AX94" s="5"/>
      <c r="BA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</row>
    <row r="95" spans="2:83" ht="15" customHeight="1">
      <c r="B95" s="5"/>
      <c r="C95" s="5"/>
      <c r="D95" s="5"/>
      <c r="E95" s="5"/>
      <c r="F95" s="5"/>
      <c r="O95" s="5"/>
      <c r="P95" s="5"/>
      <c r="R95" s="5"/>
      <c r="AB95" s="5"/>
      <c r="AC95" s="5"/>
      <c r="AD95" s="5"/>
      <c r="AO95" s="5"/>
      <c r="AP95" s="5"/>
      <c r="AR95" s="5"/>
      <c r="AS95" s="5"/>
      <c r="AT95" s="5"/>
      <c r="AU95" s="5"/>
      <c r="AV95" s="5"/>
      <c r="AW95" s="5"/>
      <c r="AX95" s="5"/>
      <c r="BA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</row>
    <row r="96" spans="2:83" ht="15" customHeight="1">
      <c r="B96" s="5"/>
      <c r="C96" s="5"/>
      <c r="D96" s="5"/>
      <c r="E96" s="5"/>
      <c r="F96" s="5"/>
      <c r="O96" s="5"/>
      <c r="P96" s="5"/>
      <c r="R96" s="5"/>
      <c r="AB96" s="5"/>
      <c r="AC96" s="5"/>
      <c r="AD96" s="5"/>
      <c r="AO96" s="5"/>
      <c r="AP96" s="5"/>
      <c r="AR96" s="5"/>
      <c r="AS96" s="5"/>
      <c r="AT96" s="5"/>
      <c r="AU96" s="5"/>
      <c r="AV96" s="5"/>
      <c r="AW96" s="5"/>
      <c r="AX96" s="5"/>
      <c r="BA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</row>
    <row r="97" spans="2:83" ht="15" customHeight="1">
      <c r="B97" s="5"/>
      <c r="C97" s="5"/>
      <c r="D97" s="5"/>
      <c r="E97" s="5"/>
      <c r="F97" s="5"/>
      <c r="O97" s="5"/>
      <c r="P97" s="5"/>
      <c r="R97" s="5"/>
      <c r="AB97" s="5"/>
      <c r="AC97" s="5"/>
      <c r="AD97" s="5"/>
      <c r="AO97" s="5"/>
      <c r="AP97" s="5"/>
      <c r="AR97" s="5"/>
      <c r="AS97" s="5"/>
      <c r="AT97" s="5"/>
      <c r="AU97" s="5"/>
      <c r="AV97" s="5"/>
      <c r="AW97" s="5"/>
      <c r="AX97" s="5"/>
      <c r="BA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</row>
    <row r="98" spans="2:83" ht="15" customHeight="1">
      <c r="B98" s="5"/>
      <c r="C98" s="5"/>
      <c r="D98" s="5"/>
      <c r="E98" s="5"/>
      <c r="F98" s="5"/>
      <c r="O98" s="5"/>
      <c r="P98" s="5"/>
      <c r="R98" s="5"/>
      <c r="AB98" s="5"/>
      <c r="AC98" s="5"/>
      <c r="AD98" s="5"/>
      <c r="AO98" s="5"/>
      <c r="AP98" s="5"/>
      <c r="AR98" s="5"/>
      <c r="AS98" s="5"/>
      <c r="AT98" s="5"/>
      <c r="AU98" s="5"/>
      <c r="AV98" s="5"/>
      <c r="AW98" s="5"/>
      <c r="AX98" s="5"/>
      <c r="BA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</row>
    <row r="99" spans="2:83" ht="15" customHeight="1">
      <c r="B99" s="5"/>
      <c r="C99" s="5"/>
      <c r="D99" s="5"/>
      <c r="E99" s="5"/>
      <c r="F99" s="5"/>
      <c r="O99" s="5"/>
      <c r="P99" s="5"/>
      <c r="R99" s="5"/>
      <c r="AB99" s="5"/>
      <c r="AC99" s="5"/>
      <c r="AD99" s="5"/>
      <c r="AO99" s="5"/>
      <c r="AP99" s="5"/>
      <c r="AR99" s="5"/>
      <c r="AS99" s="5"/>
      <c r="AT99" s="5"/>
      <c r="AU99" s="5"/>
      <c r="AV99" s="5"/>
      <c r="AW99" s="5"/>
      <c r="AX99" s="5"/>
      <c r="BA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</row>
    <row r="100" spans="2:83" ht="15" customHeight="1">
      <c r="B100" s="5"/>
      <c r="C100" s="5"/>
      <c r="D100" s="5"/>
      <c r="E100" s="5"/>
      <c r="F100" s="5"/>
      <c r="O100" s="5"/>
      <c r="P100" s="5"/>
      <c r="R100" s="5"/>
      <c r="AB100" s="5"/>
      <c r="AC100" s="5"/>
      <c r="AD100" s="5"/>
      <c r="AO100" s="5"/>
      <c r="AP100" s="5"/>
      <c r="AR100" s="5"/>
      <c r="AS100" s="5"/>
      <c r="AT100" s="5"/>
      <c r="AU100" s="5"/>
      <c r="AV100" s="5"/>
      <c r="AW100" s="5"/>
      <c r="AX100" s="5"/>
      <c r="BA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</row>
    <row r="101" spans="2:83" ht="15" customHeight="1">
      <c r="B101" s="5"/>
      <c r="C101" s="5"/>
      <c r="D101" s="5"/>
      <c r="E101" s="5"/>
      <c r="F101" s="5"/>
      <c r="O101" s="5"/>
      <c r="P101" s="5"/>
      <c r="R101" s="5"/>
      <c r="AB101" s="5"/>
      <c r="AC101" s="5"/>
      <c r="AD101" s="5"/>
      <c r="AO101" s="5"/>
      <c r="AP101" s="5"/>
      <c r="AR101" s="5"/>
      <c r="AS101" s="5"/>
      <c r="AT101" s="5"/>
      <c r="AU101" s="5"/>
      <c r="AV101" s="5"/>
      <c r="AW101" s="5"/>
      <c r="AX101" s="5"/>
      <c r="BA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</row>
    <row r="102" spans="2:83" ht="15" customHeight="1">
      <c r="B102" s="5"/>
      <c r="C102" s="5"/>
      <c r="D102" s="5"/>
      <c r="E102" s="5"/>
      <c r="F102" s="5"/>
      <c r="O102" s="5"/>
      <c r="P102" s="5"/>
      <c r="R102" s="5"/>
      <c r="AB102" s="5"/>
      <c r="AC102" s="5"/>
      <c r="AD102" s="5"/>
      <c r="AO102" s="5"/>
      <c r="AP102" s="5"/>
      <c r="AR102" s="5"/>
      <c r="AS102" s="5"/>
      <c r="AT102" s="5"/>
      <c r="AU102" s="5"/>
      <c r="AV102" s="5"/>
      <c r="AW102" s="5"/>
      <c r="AX102" s="5"/>
      <c r="BA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</row>
    <row r="103" spans="2:83" ht="15" customHeight="1">
      <c r="B103" s="5"/>
      <c r="C103" s="5"/>
      <c r="D103" s="5"/>
      <c r="E103" s="5"/>
      <c r="F103" s="5"/>
      <c r="O103" s="5"/>
      <c r="P103" s="5"/>
      <c r="R103" s="5"/>
      <c r="AB103" s="5"/>
      <c r="AC103" s="5"/>
      <c r="AD103" s="5"/>
      <c r="AO103" s="5"/>
      <c r="AP103" s="5"/>
      <c r="AR103" s="5"/>
      <c r="AS103" s="5"/>
      <c r="AT103" s="5"/>
      <c r="AU103" s="5"/>
      <c r="AV103" s="5"/>
      <c r="AW103" s="5"/>
      <c r="AX103" s="5"/>
      <c r="BA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</row>
    <row r="104" spans="2:83" ht="15" customHeight="1">
      <c r="B104" s="5"/>
      <c r="C104" s="5"/>
      <c r="D104" s="5"/>
      <c r="E104" s="5"/>
      <c r="F104" s="5"/>
      <c r="O104" s="5"/>
      <c r="P104" s="5"/>
      <c r="R104" s="5"/>
      <c r="AB104" s="5"/>
      <c r="AC104" s="5"/>
      <c r="AD104" s="5"/>
      <c r="AO104" s="5"/>
      <c r="AP104" s="5"/>
      <c r="AR104" s="5"/>
      <c r="AS104" s="5"/>
      <c r="AT104" s="5"/>
      <c r="AU104" s="5"/>
      <c r="AV104" s="5"/>
      <c r="AW104" s="5"/>
      <c r="AX104" s="5"/>
      <c r="BA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</row>
    <row r="105" spans="2:83" ht="15" customHeight="1">
      <c r="B105" s="5"/>
      <c r="C105" s="5"/>
      <c r="D105" s="5"/>
      <c r="E105" s="5"/>
      <c r="F105" s="5"/>
      <c r="O105" s="5"/>
      <c r="P105" s="5"/>
      <c r="R105" s="5"/>
      <c r="AB105" s="5"/>
      <c r="AC105" s="5"/>
      <c r="AD105" s="5"/>
      <c r="AO105" s="5"/>
      <c r="AP105" s="5"/>
      <c r="AR105" s="5"/>
      <c r="AS105" s="5"/>
      <c r="AT105" s="5"/>
      <c r="AU105" s="5"/>
      <c r="AV105" s="5"/>
      <c r="AW105" s="5"/>
      <c r="AX105" s="5"/>
      <c r="BA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</row>
    <row r="106" spans="2:83" ht="15" customHeight="1">
      <c r="B106" s="5"/>
      <c r="C106" s="5"/>
      <c r="D106" s="5"/>
      <c r="E106" s="5"/>
      <c r="F106" s="5"/>
      <c r="O106" s="5"/>
      <c r="P106" s="5"/>
      <c r="R106" s="5"/>
      <c r="AB106" s="5"/>
      <c r="AC106" s="5"/>
      <c r="AD106" s="5"/>
      <c r="AO106" s="5"/>
      <c r="AP106" s="5"/>
      <c r="AR106" s="5"/>
      <c r="AS106" s="5"/>
      <c r="AT106" s="5"/>
      <c r="AU106" s="5"/>
      <c r="AV106" s="5"/>
      <c r="AW106" s="5"/>
      <c r="AX106" s="5"/>
      <c r="BA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</row>
    <row r="107" spans="2:83" ht="15" customHeight="1">
      <c r="B107" s="5"/>
      <c r="C107" s="5"/>
      <c r="D107" s="5"/>
      <c r="E107" s="5"/>
      <c r="F107" s="5"/>
      <c r="O107" s="5"/>
      <c r="P107" s="5"/>
      <c r="R107" s="5"/>
      <c r="AB107" s="5"/>
      <c r="AC107" s="5"/>
      <c r="AD107" s="5"/>
      <c r="AO107" s="5"/>
      <c r="AP107" s="5"/>
      <c r="AR107" s="5"/>
      <c r="AS107" s="5"/>
      <c r="AT107" s="5"/>
      <c r="AU107" s="5"/>
      <c r="AV107" s="5"/>
      <c r="AW107" s="5"/>
      <c r="AX107" s="5"/>
      <c r="BA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</row>
    <row r="108" spans="2:83" ht="15" customHeight="1">
      <c r="B108" s="5"/>
      <c r="C108" s="5"/>
      <c r="D108" s="5"/>
      <c r="E108" s="5"/>
      <c r="F108" s="5"/>
      <c r="O108" s="5"/>
      <c r="P108" s="5"/>
      <c r="R108" s="5"/>
      <c r="AB108" s="5"/>
      <c r="AC108" s="5"/>
      <c r="AD108" s="5"/>
      <c r="AO108" s="5"/>
      <c r="AP108" s="5"/>
      <c r="AR108" s="5"/>
      <c r="AS108" s="5"/>
      <c r="AT108" s="5"/>
      <c r="AU108" s="5"/>
      <c r="AV108" s="5"/>
      <c r="AW108" s="5"/>
      <c r="AX108" s="5"/>
      <c r="BA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</row>
    <row r="109" spans="2:83" ht="15" customHeight="1">
      <c r="B109" s="5"/>
      <c r="C109" s="5"/>
      <c r="D109" s="5"/>
      <c r="E109" s="5"/>
      <c r="F109" s="5"/>
      <c r="O109" s="5"/>
      <c r="P109" s="5"/>
      <c r="R109" s="5"/>
      <c r="AB109" s="5"/>
      <c r="AC109" s="5"/>
      <c r="AD109" s="5"/>
      <c r="AO109" s="5"/>
      <c r="AP109" s="5"/>
      <c r="AR109" s="5"/>
      <c r="AS109" s="5"/>
      <c r="AT109" s="5"/>
      <c r="AU109" s="5"/>
      <c r="AV109" s="5"/>
      <c r="AW109" s="5"/>
      <c r="AX109" s="5"/>
      <c r="BA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</row>
    <row r="110" spans="2:83" ht="15" customHeight="1">
      <c r="B110" s="5"/>
      <c r="C110" s="5"/>
      <c r="D110" s="5"/>
      <c r="E110" s="5"/>
      <c r="F110" s="5"/>
      <c r="O110" s="5"/>
      <c r="P110" s="5"/>
      <c r="R110" s="5"/>
      <c r="AB110" s="5"/>
      <c r="AC110" s="5"/>
      <c r="AD110" s="5"/>
      <c r="AO110" s="5"/>
      <c r="AP110" s="5"/>
      <c r="AR110" s="5"/>
      <c r="AS110" s="5"/>
      <c r="AT110" s="5"/>
      <c r="AU110" s="5"/>
      <c r="AV110" s="5"/>
      <c r="AW110" s="5"/>
      <c r="AX110" s="5"/>
      <c r="BA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</row>
    <row r="111" spans="2:83" ht="15" customHeight="1">
      <c r="B111" s="5"/>
      <c r="C111" s="5"/>
      <c r="D111" s="5"/>
      <c r="E111" s="5"/>
      <c r="F111" s="5"/>
      <c r="O111" s="5"/>
      <c r="P111" s="5"/>
      <c r="R111" s="5"/>
      <c r="AB111" s="5"/>
      <c r="AC111" s="5"/>
      <c r="AD111" s="5"/>
      <c r="AO111" s="5"/>
      <c r="AP111" s="5"/>
      <c r="AR111" s="5"/>
      <c r="AS111" s="5"/>
      <c r="AT111" s="5"/>
      <c r="AU111" s="5"/>
      <c r="AV111" s="5"/>
      <c r="AW111" s="5"/>
      <c r="AX111" s="5"/>
      <c r="BA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</row>
    <row r="112" spans="2:83" ht="15" customHeight="1">
      <c r="B112" s="5"/>
      <c r="C112" s="5"/>
      <c r="D112" s="5"/>
      <c r="E112" s="5"/>
      <c r="F112" s="5"/>
      <c r="O112" s="5"/>
      <c r="P112" s="5"/>
      <c r="R112" s="5"/>
      <c r="AB112" s="5"/>
      <c r="AC112" s="5"/>
      <c r="AD112" s="5"/>
      <c r="AO112" s="5"/>
      <c r="AP112" s="5"/>
      <c r="AR112" s="5"/>
      <c r="AS112" s="5"/>
      <c r="AT112" s="5"/>
      <c r="AU112" s="5"/>
      <c r="AV112" s="5"/>
      <c r="AW112" s="5"/>
      <c r="AX112" s="5"/>
      <c r="BA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</row>
    <row r="113" spans="2:83" ht="15" customHeight="1">
      <c r="B113" s="5"/>
      <c r="C113" s="5"/>
      <c r="D113" s="5"/>
      <c r="E113" s="5"/>
      <c r="F113" s="5"/>
      <c r="O113" s="5"/>
      <c r="P113" s="5"/>
      <c r="R113" s="5"/>
      <c r="AB113" s="5"/>
      <c r="AC113" s="5"/>
      <c r="AD113" s="5"/>
      <c r="AO113" s="5"/>
      <c r="AP113" s="5"/>
      <c r="AR113" s="5"/>
      <c r="AS113" s="5"/>
      <c r="AT113" s="5"/>
      <c r="AU113" s="5"/>
      <c r="AV113" s="5"/>
      <c r="AW113" s="5"/>
      <c r="AX113" s="5"/>
      <c r="BA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</row>
    <row r="114" spans="2:83" ht="15" customHeight="1">
      <c r="B114" s="5"/>
      <c r="C114" s="5"/>
      <c r="D114" s="5"/>
      <c r="E114" s="5"/>
      <c r="F114" s="5"/>
      <c r="O114" s="5"/>
      <c r="P114" s="5"/>
      <c r="R114" s="5"/>
      <c r="AB114" s="5"/>
      <c r="AC114" s="5"/>
      <c r="AD114" s="5"/>
      <c r="AO114" s="5"/>
      <c r="AP114" s="5"/>
      <c r="AR114" s="5"/>
      <c r="AS114" s="5"/>
      <c r="AT114" s="5"/>
      <c r="AU114" s="5"/>
      <c r="AV114" s="5"/>
      <c r="AW114" s="5"/>
      <c r="AX114" s="5"/>
      <c r="BA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</row>
    <row r="115" spans="2:83" ht="15" customHeight="1">
      <c r="B115" s="5"/>
      <c r="C115" s="5"/>
      <c r="D115" s="5"/>
      <c r="E115" s="5"/>
      <c r="F115" s="5"/>
      <c r="O115" s="5"/>
      <c r="P115" s="5"/>
      <c r="R115" s="5"/>
      <c r="AB115" s="5"/>
      <c r="AC115" s="5"/>
      <c r="AD115" s="5"/>
      <c r="AO115" s="5"/>
      <c r="AP115" s="5"/>
      <c r="AR115" s="5"/>
      <c r="AS115" s="5"/>
      <c r="AT115" s="5"/>
      <c r="AU115" s="5"/>
      <c r="AV115" s="5"/>
      <c r="AW115" s="5"/>
      <c r="AX115" s="5"/>
      <c r="BA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</row>
    <row r="116" spans="2:83" ht="15" customHeight="1">
      <c r="B116" s="5"/>
      <c r="C116" s="5"/>
      <c r="D116" s="5"/>
      <c r="E116" s="5"/>
      <c r="F116" s="5"/>
      <c r="O116" s="5"/>
      <c r="P116" s="5"/>
      <c r="R116" s="5"/>
      <c r="AB116" s="5"/>
      <c r="AC116" s="5"/>
      <c r="AD116" s="5"/>
      <c r="AO116" s="5"/>
      <c r="AP116" s="5"/>
      <c r="AR116" s="5"/>
      <c r="AS116" s="5"/>
      <c r="AT116" s="5"/>
      <c r="AU116" s="5"/>
      <c r="AV116" s="5"/>
      <c r="AW116" s="5"/>
      <c r="AX116" s="5"/>
      <c r="BA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</row>
    <row r="117" spans="2:83" ht="15" customHeight="1">
      <c r="B117" s="5"/>
      <c r="C117" s="5"/>
      <c r="D117" s="5"/>
      <c r="E117" s="5"/>
      <c r="F117" s="5"/>
      <c r="O117" s="5"/>
      <c r="P117" s="5"/>
      <c r="R117" s="5"/>
      <c r="AB117" s="5"/>
      <c r="AC117" s="5"/>
      <c r="AD117" s="5"/>
      <c r="AO117" s="5"/>
      <c r="AP117" s="5"/>
      <c r="AR117" s="5"/>
      <c r="AS117" s="5"/>
      <c r="AT117" s="5"/>
      <c r="AU117" s="5"/>
      <c r="AV117" s="5"/>
      <c r="AW117" s="5"/>
      <c r="AX117" s="5"/>
      <c r="BA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</row>
    <row r="118" spans="2:83" ht="15" customHeight="1">
      <c r="B118" s="5"/>
      <c r="C118" s="5"/>
      <c r="D118" s="5"/>
      <c r="E118" s="5"/>
      <c r="F118" s="5"/>
      <c r="O118" s="5"/>
      <c r="P118" s="5"/>
      <c r="R118" s="5"/>
      <c r="AB118" s="5"/>
      <c r="AC118" s="5"/>
      <c r="AD118" s="5"/>
      <c r="AO118" s="5"/>
      <c r="AP118" s="5"/>
      <c r="AR118" s="5"/>
      <c r="AS118" s="5"/>
      <c r="AT118" s="5"/>
      <c r="AU118" s="5"/>
      <c r="AV118" s="5"/>
      <c r="AW118" s="5"/>
      <c r="AX118" s="5"/>
      <c r="BA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</row>
    <row r="119" spans="2:83" ht="15" customHeight="1">
      <c r="B119" s="5"/>
      <c r="C119" s="5"/>
      <c r="D119" s="5"/>
      <c r="E119" s="5"/>
      <c r="F119" s="5"/>
      <c r="O119" s="5"/>
      <c r="P119" s="5"/>
      <c r="R119" s="5"/>
      <c r="AB119" s="5"/>
      <c r="AC119" s="5"/>
      <c r="AD119" s="5"/>
      <c r="AO119" s="5"/>
      <c r="AP119" s="5"/>
      <c r="AR119" s="5"/>
      <c r="AS119" s="5"/>
      <c r="AT119" s="5"/>
      <c r="AU119" s="5"/>
      <c r="AV119" s="5"/>
      <c r="AW119" s="5"/>
      <c r="AX119" s="5"/>
      <c r="BA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</row>
    <row r="120" spans="2:83" ht="15" customHeight="1">
      <c r="B120" s="5"/>
      <c r="C120" s="5"/>
      <c r="D120" s="5"/>
      <c r="E120" s="5"/>
      <c r="F120" s="5"/>
      <c r="O120" s="5"/>
      <c r="P120" s="5"/>
      <c r="R120" s="5"/>
      <c r="AB120" s="5"/>
      <c r="AC120" s="5"/>
      <c r="AD120" s="5"/>
      <c r="AO120" s="5"/>
      <c r="AP120" s="5"/>
      <c r="AR120" s="5"/>
      <c r="AS120" s="5"/>
      <c r="AT120" s="5"/>
      <c r="AU120" s="5"/>
      <c r="AV120" s="5"/>
      <c r="AW120" s="5"/>
      <c r="AX120" s="5"/>
      <c r="BA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</row>
    <row r="121" spans="2:83" ht="15" customHeight="1">
      <c r="B121" s="5"/>
      <c r="C121" s="5"/>
      <c r="D121" s="5"/>
      <c r="E121" s="5"/>
      <c r="F121" s="5"/>
      <c r="O121" s="5"/>
      <c r="P121" s="5"/>
      <c r="R121" s="5"/>
      <c r="AB121" s="5"/>
      <c r="AC121" s="5"/>
      <c r="AD121" s="5"/>
      <c r="AO121" s="5"/>
      <c r="AP121" s="5"/>
      <c r="AR121" s="5"/>
      <c r="AS121" s="5"/>
      <c r="AT121" s="5"/>
      <c r="AU121" s="5"/>
      <c r="AV121" s="5"/>
      <c r="AW121" s="5"/>
      <c r="AX121" s="5"/>
      <c r="BA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</row>
    <row r="122" spans="2:83" ht="15" customHeight="1">
      <c r="B122" s="5"/>
      <c r="C122" s="5"/>
      <c r="D122" s="5"/>
      <c r="E122" s="5"/>
      <c r="F122" s="5"/>
      <c r="O122" s="5"/>
      <c r="P122" s="5"/>
      <c r="R122" s="5"/>
      <c r="AB122" s="5"/>
      <c r="AC122" s="5"/>
      <c r="AD122" s="5"/>
      <c r="AO122" s="5"/>
      <c r="AP122" s="5"/>
      <c r="AR122" s="5"/>
      <c r="AS122" s="5"/>
      <c r="AT122" s="5"/>
      <c r="AU122" s="5"/>
      <c r="AV122" s="5"/>
      <c r="AW122" s="5"/>
      <c r="AX122" s="5"/>
      <c r="BA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</row>
    <row r="123" spans="2:83" ht="15" customHeight="1">
      <c r="B123" s="5"/>
      <c r="C123" s="5"/>
      <c r="D123" s="5"/>
      <c r="E123" s="5"/>
      <c r="F123" s="5"/>
      <c r="O123" s="5"/>
      <c r="P123" s="5"/>
      <c r="R123" s="5"/>
      <c r="AB123" s="5"/>
      <c r="AC123" s="5"/>
      <c r="AD123" s="5"/>
      <c r="AO123" s="5"/>
      <c r="AP123" s="5"/>
      <c r="AR123" s="5"/>
      <c r="AS123" s="5"/>
      <c r="AT123" s="5"/>
      <c r="AU123" s="5"/>
      <c r="AV123" s="5"/>
      <c r="AW123" s="5"/>
      <c r="AX123" s="5"/>
      <c r="BA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</row>
    <row r="124" spans="2:83" ht="15" customHeight="1">
      <c r="B124" s="5"/>
      <c r="C124" s="5"/>
      <c r="D124" s="5"/>
      <c r="E124" s="5"/>
      <c r="F124" s="5"/>
      <c r="O124" s="5"/>
      <c r="P124" s="5"/>
      <c r="R124" s="5"/>
      <c r="AB124" s="5"/>
      <c r="AC124" s="5"/>
      <c r="AD124" s="5"/>
      <c r="AO124" s="5"/>
      <c r="AP124" s="5"/>
      <c r="AR124" s="5"/>
      <c r="AS124" s="5"/>
      <c r="AT124" s="5"/>
      <c r="AU124" s="5"/>
      <c r="AV124" s="5"/>
      <c r="AW124" s="5"/>
      <c r="AX124" s="5"/>
      <c r="BA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</row>
    <row r="125" spans="2:83" ht="15" customHeight="1">
      <c r="B125" s="5"/>
      <c r="C125" s="5"/>
      <c r="D125" s="5"/>
      <c r="E125" s="5"/>
      <c r="F125" s="5"/>
      <c r="O125" s="5"/>
      <c r="P125" s="5"/>
      <c r="R125" s="5"/>
      <c r="AB125" s="5"/>
      <c r="AC125" s="5"/>
      <c r="AD125" s="5"/>
      <c r="AO125" s="5"/>
      <c r="AP125" s="5"/>
      <c r="AR125" s="5"/>
      <c r="AS125" s="5"/>
      <c r="AT125" s="5"/>
      <c r="AU125" s="5"/>
      <c r="AV125" s="5"/>
      <c r="AW125" s="5"/>
      <c r="AX125" s="5"/>
      <c r="BA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</row>
    <row r="126" spans="2:83" ht="15" customHeight="1">
      <c r="B126" s="5"/>
      <c r="C126" s="5"/>
      <c r="D126" s="5"/>
      <c r="E126" s="5"/>
      <c r="F126" s="5"/>
      <c r="O126" s="5"/>
      <c r="P126" s="5"/>
      <c r="R126" s="5"/>
      <c r="AB126" s="5"/>
      <c r="AC126" s="5"/>
      <c r="AD126" s="5"/>
      <c r="AO126" s="5"/>
      <c r="AP126" s="5"/>
      <c r="AR126" s="5"/>
      <c r="AS126" s="5"/>
      <c r="AT126" s="5"/>
      <c r="AU126" s="5"/>
      <c r="AV126" s="5"/>
      <c r="AW126" s="5"/>
      <c r="AX126" s="5"/>
      <c r="BA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</row>
    <row r="127" spans="2:83" ht="15" customHeight="1">
      <c r="B127" s="5"/>
      <c r="C127" s="5"/>
      <c r="D127" s="5"/>
      <c r="E127" s="5"/>
      <c r="F127" s="5"/>
      <c r="O127" s="5"/>
      <c r="P127" s="5"/>
      <c r="R127" s="5"/>
      <c r="AB127" s="5"/>
      <c r="AC127" s="5"/>
      <c r="AD127" s="5"/>
      <c r="AO127" s="5"/>
      <c r="AP127" s="5"/>
      <c r="AR127" s="5"/>
      <c r="AS127" s="5"/>
      <c r="AT127" s="5"/>
      <c r="AU127" s="5"/>
      <c r="AV127" s="5"/>
      <c r="AW127" s="5"/>
      <c r="AX127" s="5"/>
      <c r="BA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</row>
    <row r="128" spans="2:83" ht="15" customHeight="1">
      <c r="B128" s="5"/>
      <c r="C128" s="5"/>
      <c r="D128" s="5"/>
      <c r="E128" s="5"/>
      <c r="F128" s="5"/>
      <c r="O128" s="5"/>
      <c r="P128" s="5"/>
      <c r="R128" s="5"/>
      <c r="AB128" s="5"/>
      <c r="AC128" s="5"/>
      <c r="AD128" s="5"/>
      <c r="AO128" s="5"/>
      <c r="AP128" s="5"/>
      <c r="AR128" s="5"/>
      <c r="AS128" s="5"/>
      <c r="AT128" s="5"/>
      <c r="AU128" s="5"/>
      <c r="AV128" s="5"/>
      <c r="AW128" s="5"/>
      <c r="AX128" s="5"/>
      <c r="BA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</row>
    <row r="129" spans="2:83" ht="15" customHeight="1">
      <c r="B129" s="5"/>
      <c r="C129" s="5"/>
      <c r="D129" s="5"/>
      <c r="E129" s="5"/>
      <c r="F129" s="5"/>
      <c r="O129" s="5"/>
      <c r="P129" s="5"/>
      <c r="R129" s="5"/>
      <c r="AB129" s="5"/>
      <c r="AC129" s="5"/>
      <c r="AD129" s="5"/>
      <c r="AO129" s="5"/>
      <c r="AP129" s="5"/>
      <c r="AR129" s="5"/>
      <c r="AS129" s="5"/>
      <c r="AT129" s="5"/>
      <c r="AU129" s="5"/>
      <c r="AV129" s="5"/>
      <c r="AW129" s="5"/>
      <c r="AX129" s="5"/>
      <c r="BA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</row>
    <row r="130" spans="2:83" ht="15" customHeight="1">
      <c r="B130" s="5"/>
      <c r="C130" s="5"/>
      <c r="D130" s="5"/>
      <c r="E130" s="5"/>
      <c r="F130" s="5"/>
      <c r="O130" s="5"/>
      <c r="P130" s="5"/>
      <c r="R130" s="5"/>
      <c r="AB130" s="5"/>
      <c r="AC130" s="5"/>
      <c r="AD130" s="5"/>
      <c r="AO130" s="5"/>
      <c r="AP130" s="5"/>
      <c r="AR130" s="5"/>
      <c r="AS130" s="5"/>
      <c r="AT130" s="5"/>
      <c r="AU130" s="5"/>
      <c r="AV130" s="5"/>
      <c r="AW130" s="5"/>
      <c r="AX130" s="5"/>
      <c r="BA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</row>
    <row r="131" spans="2:83" ht="15" customHeight="1">
      <c r="B131" s="5"/>
      <c r="C131" s="5"/>
      <c r="D131" s="5"/>
      <c r="E131" s="5"/>
      <c r="F131" s="5"/>
      <c r="O131" s="5"/>
      <c r="P131" s="5"/>
      <c r="R131" s="5"/>
      <c r="AB131" s="5"/>
      <c r="AC131" s="5"/>
      <c r="AD131" s="5"/>
      <c r="AO131" s="5"/>
      <c r="AP131" s="5"/>
      <c r="AR131" s="5"/>
      <c r="AS131" s="5"/>
      <c r="AT131" s="5"/>
      <c r="AU131" s="5"/>
      <c r="AV131" s="5"/>
      <c r="AW131" s="5"/>
      <c r="AX131" s="5"/>
      <c r="BA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</row>
    <row r="132" spans="2:83" ht="15" customHeight="1">
      <c r="B132" s="5"/>
      <c r="C132" s="5"/>
      <c r="D132" s="5"/>
      <c r="E132" s="5"/>
      <c r="F132" s="5"/>
      <c r="O132" s="5"/>
      <c r="P132" s="5"/>
      <c r="R132" s="5"/>
      <c r="AB132" s="5"/>
      <c r="AC132" s="5"/>
      <c r="AD132" s="5"/>
      <c r="AO132" s="5"/>
      <c r="AP132" s="5"/>
      <c r="AR132" s="5"/>
      <c r="AS132" s="5"/>
      <c r="AT132" s="5"/>
      <c r="AU132" s="5"/>
      <c r="AV132" s="5"/>
      <c r="AW132" s="5"/>
      <c r="AX132" s="5"/>
      <c r="BA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</row>
    <row r="133" spans="2:83" ht="15" customHeight="1">
      <c r="B133" s="5"/>
      <c r="C133" s="5"/>
      <c r="D133" s="5"/>
      <c r="E133" s="5"/>
      <c r="F133" s="5"/>
      <c r="O133" s="5"/>
      <c r="P133" s="5"/>
      <c r="R133" s="5"/>
      <c r="AB133" s="5"/>
      <c r="AC133" s="5"/>
      <c r="AD133" s="5"/>
      <c r="AO133" s="5"/>
      <c r="AP133" s="5"/>
      <c r="AR133" s="5"/>
      <c r="AS133" s="5"/>
      <c r="AT133" s="5"/>
      <c r="AU133" s="5"/>
      <c r="AV133" s="5"/>
      <c r="AW133" s="5"/>
      <c r="AX133" s="5"/>
      <c r="BA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</row>
    <row r="134" spans="2:83" ht="15" customHeight="1">
      <c r="B134" s="5"/>
      <c r="C134" s="5"/>
      <c r="D134" s="5"/>
      <c r="E134" s="5"/>
      <c r="F134" s="5"/>
      <c r="O134" s="5"/>
      <c r="P134" s="5"/>
      <c r="R134" s="5"/>
      <c r="AB134" s="5"/>
      <c r="AC134" s="5"/>
      <c r="AD134" s="5"/>
      <c r="AO134" s="5"/>
      <c r="AP134" s="5"/>
      <c r="AR134" s="5"/>
      <c r="AS134" s="5"/>
      <c r="AT134" s="5"/>
      <c r="AU134" s="5"/>
      <c r="AV134" s="5"/>
      <c r="AW134" s="5"/>
      <c r="AX134" s="5"/>
      <c r="BA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</row>
    <row r="135" spans="2:83" ht="15" customHeight="1">
      <c r="B135" s="5"/>
      <c r="C135" s="5"/>
      <c r="D135" s="5"/>
      <c r="E135" s="5"/>
      <c r="F135" s="5"/>
      <c r="O135" s="5"/>
      <c r="P135" s="5"/>
      <c r="R135" s="5"/>
      <c r="AB135" s="5"/>
      <c r="AC135" s="5"/>
      <c r="AD135" s="5"/>
      <c r="AO135" s="5"/>
      <c r="AP135" s="5"/>
      <c r="AR135" s="5"/>
      <c r="AS135" s="5"/>
      <c r="AT135" s="5"/>
      <c r="AU135" s="5"/>
      <c r="AV135" s="5"/>
      <c r="AW135" s="5"/>
      <c r="AX135" s="5"/>
      <c r="BA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</row>
    <row r="136" spans="2:83" ht="15" customHeight="1">
      <c r="B136" s="5"/>
      <c r="C136" s="5"/>
      <c r="D136" s="5"/>
      <c r="E136" s="5"/>
      <c r="F136" s="5"/>
      <c r="O136" s="5"/>
      <c r="P136" s="5"/>
      <c r="R136" s="5"/>
      <c r="AB136" s="5"/>
      <c r="AC136" s="5"/>
      <c r="AD136" s="5"/>
      <c r="AO136" s="5"/>
      <c r="AP136" s="5"/>
      <c r="AR136" s="5"/>
      <c r="AS136" s="5"/>
      <c r="AT136" s="5"/>
      <c r="AU136" s="5"/>
      <c r="AV136" s="5"/>
      <c r="AW136" s="5"/>
      <c r="AX136" s="5"/>
      <c r="BA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</row>
    <row r="137" spans="2:83" ht="15" customHeight="1">
      <c r="B137" s="5"/>
      <c r="C137" s="5"/>
      <c r="D137" s="5"/>
      <c r="E137" s="5"/>
      <c r="F137" s="5"/>
      <c r="O137" s="5"/>
      <c r="P137" s="5"/>
      <c r="R137" s="5"/>
      <c r="AB137" s="5"/>
      <c r="AC137" s="5"/>
      <c r="AD137" s="5"/>
      <c r="AO137" s="5"/>
      <c r="AP137" s="5"/>
      <c r="AR137" s="5"/>
      <c r="AS137" s="5"/>
      <c r="AT137" s="5"/>
      <c r="AU137" s="5"/>
      <c r="AV137" s="5"/>
      <c r="AW137" s="5"/>
      <c r="AX137" s="5"/>
      <c r="BA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</row>
    <row r="138" spans="2:83" ht="15" customHeight="1">
      <c r="B138" s="5"/>
      <c r="C138" s="5"/>
      <c r="D138" s="5"/>
      <c r="E138" s="5"/>
      <c r="F138" s="5"/>
      <c r="O138" s="5"/>
      <c r="P138" s="5"/>
      <c r="R138" s="5"/>
      <c r="AB138" s="5"/>
      <c r="AC138" s="5"/>
      <c r="AD138" s="5"/>
      <c r="AO138" s="5"/>
      <c r="AP138" s="5"/>
      <c r="AR138" s="5"/>
      <c r="AS138" s="5"/>
      <c r="AT138" s="5"/>
      <c r="AU138" s="5"/>
      <c r="AV138" s="5"/>
      <c r="AW138" s="5"/>
      <c r="AX138" s="5"/>
      <c r="BA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</row>
    <row r="139" spans="2:83" ht="15" customHeight="1">
      <c r="B139" s="5"/>
      <c r="C139" s="5"/>
      <c r="D139" s="5"/>
      <c r="E139" s="5"/>
      <c r="F139" s="5"/>
      <c r="O139" s="5"/>
      <c r="P139" s="5"/>
      <c r="R139" s="5"/>
      <c r="AB139" s="5"/>
      <c r="AC139" s="5"/>
      <c r="AD139" s="5"/>
      <c r="AO139" s="5"/>
      <c r="AP139" s="5"/>
      <c r="AR139" s="5"/>
      <c r="AS139" s="5"/>
      <c r="AT139" s="5"/>
      <c r="AU139" s="5"/>
      <c r="AV139" s="5"/>
      <c r="AW139" s="5"/>
      <c r="AX139" s="5"/>
      <c r="BA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</row>
    <row r="140" spans="2:83" ht="15" customHeight="1">
      <c r="B140" s="5"/>
      <c r="C140" s="5"/>
      <c r="D140" s="5"/>
      <c r="E140" s="5"/>
      <c r="F140" s="5"/>
      <c r="O140" s="5"/>
      <c r="P140" s="5"/>
      <c r="R140" s="5"/>
      <c r="AB140" s="5"/>
      <c r="AC140" s="5"/>
      <c r="AD140" s="5"/>
      <c r="AO140" s="5"/>
      <c r="AP140" s="5"/>
      <c r="AR140" s="5"/>
      <c r="AS140" s="5"/>
      <c r="AT140" s="5"/>
      <c r="AU140" s="5"/>
      <c r="AV140" s="5"/>
      <c r="AW140" s="5"/>
      <c r="AX140" s="5"/>
      <c r="BA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</row>
    <row r="141" spans="2:83" ht="15" customHeight="1">
      <c r="B141" s="5"/>
      <c r="C141" s="5"/>
      <c r="D141" s="5"/>
      <c r="E141" s="5"/>
      <c r="F141" s="5"/>
      <c r="O141" s="5"/>
      <c r="P141" s="5"/>
      <c r="R141" s="5"/>
      <c r="AB141" s="5"/>
      <c r="AC141" s="5"/>
      <c r="AD141" s="5"/>
      <c r="AO141" s="5"/>
      <c r="AP141" s="5"/>
      <c r="AR141" s="5"/>
      <c r="AS141" s="5"/>
      <c r="AT141" s="5"/>
      <c r="AU141" s="5"/>
      <c r="AV141" s="5"/>
      <c r="AW141" s="5"/>
      <c r="AX141" s="5"/>
      <c r="BA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</row>
    <row r="142" spans="2:83" ht="15" customHeight="1">
      <c r="B142" s="5"/>
      <c r="C142" s="5"/>
      <c r="D142" s="5"/>
      <c r="E142" s="5"/>
      <c r="F142" s="5"/>
      <c r="O142" s="5"/>
      <c r="P142" s="5"/>
      <c r="R142" s="5"/>
      <c r="AB142" s="5"/>
      <c r="AC142" s="5"/>
      <c r="AD142" s="5"/>
      <c r="AO142" s="5"/>
      <c r="AP142" s="5"/>
      <c r="AR142" s="5"/>
      <c r="AS142" s="5"/>
      <c r="AT142" s="5"/>
      <c r="AU142" s="5"/>
      <c r="AV142" s="5"/>
      <c r="AW142" s="5"/>
      <c r="AX142" s="5"/>
      <c r="BA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</row>
    <row r="143" spans="2:83" ht="15" customHeight="1">
      <c r="B143" s="5"/>
      <c r="C143" s="5"/>
      <c r="D143" s="5"/>
      <c r="E143" s="5"/>
      <c r="F143" s="5"/>
      <c r="O143" s="5"/>
      <c r="P143" s="5"/>
      <c r="R143" s="5"/>
      <c r="AB143" s="5"/>
      <c r="AC143" s="5"/>
      <c r="AD143" s="5"/>
      <c r="AO143" s="5"/>
      <c r="AP143" s="5"/>
      <c r="AR143" s="5"/>
      <c r="AS143" s="5"/>
      <c r="AT143" s="5"/>
      <c r="AU143" s="5"/>
      <c r="AV143" s="5"/>
      <c r="AW143" s="5"/>
      <c r="AX143" s="5"/>
      <c r="BA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</row>
    <row r="144" spans="2:83" ht="15" customHeight="1">
      <c r="B144" s="5"/>
      <c r="C144" s="5"/>
      <c r="D144" s="5"/>
      <c r="E144" s="5"/>
      <c r="F144" s="5"/>
      <c r="O144" s="5"/>
      <c r="P144" s="5"/>
      <c r="R144" s="5"/>
      <c r="AB144" s="5"/>
      <c r="AC144" s="5"/>
      <c r="AD144" s="5"/>
      <c r="AO144" s="5"/>
      <c r="AP144" s="5"/>
      <c r="AR144" s="5"/>
      <c r="AS144" s="5"/>
      <c r="AT144" s="5"/>
      <c r="AU144" s="5"/>
      <c r="AV144" s="5"/>
      <c r="AW144" s="5"/>
      <c r="AX144" s="5"/>
      <c r="BA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</row>
    <row r="145" spans="2:83" ht="15" customHeight="1">
      <c r="B145" s="5"/>
      <c r="C145" s="5"/>
      <c r="D145" s="5"/>
      <c r="E145" s="5"/>
      <c r="F145" s="5"/>
      <c r="O145" s="5"/>
      <c r="P145" s="5"/>
      <c r="R145" s="5"/>
      <c r="AB145" s="5"/>
      <c r="AC145" s="5"/>
      <c r="AD145" s="5"/>
      <c r="AO145" s="5"/>
      <c r="AP145" s="5"/>
      <c r="AR145" s="5"/>
      <c r="AS145" s="5"/>
      <c r="AT145" s="5"/>
      <c r="AU145" s="5"/>
      <c r="AV145" s="5"/>
      <c r="AW145" s="5"/>
      <c r="AX145" s="5"/>
      <c r="BA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</row>
    <row r="146" spans="2:83" ht="15" customHeight="1">
      <c r="B146" s="5"/>
      <c r="C146" s="5"/>
      <c r="D146" s="5"/>
      <c r="E146" s="5"/>
      <c r="F146" s="5"/>
      <c r="O146" s="5"/>
      <c r="P146" s="5"/>
      <c r="R146" s="5"/>
      <c r="AB146" s="5"/>
      <c r="AC146" s="5"/>
      <c r="AD146" s="5"/>
      <c r="AO146" s="5"/>
      <c r="AP146" s="5"/>
      <c r="AR146" s="5"/>
      <c r="AS146" s="5"/>
      <c r="AT146" s="5"/>
      <c r="AU146" s="5"/>
      <c r="AV146" s="5"/>
      <c r="AW146" s="5"/>
      <c r="AX146" s="5"/>
      <c r="BA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</row>
    <row r="147" spans="2:83" ht="15" customHeight="1">
      <c r="B147" s="5"/>
      <c r="C147" s="5"/>
      <c r="D147" s="5"/>
      <c r="E147" s="5"/>
      <c r="F147" s="5"/>
      <c r="O147" s="5"/>
      <c r="P147" s="5"/>
      <c r="R147" s="5"/>
      <c r="AB147" s="5"/>
      <c r="AC147" s="5"/>
      <c r="AD147" s="5"/>
      <c r="AO147" s="5"/>
      <c r="AP147" s="5"/>
      <c r="AR147" s="5"/>
      <c r="AS147" s="5"/>
      <c r="AT147" s="5"/>
      <c r="AU147" s="5"/>
      <c r="AV147" s="5"/>
      <c r="AW147" s="5"/>
      <c r="AX147" s="5"/>
      <c r="BA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</row>
    <row r="148" spans="2:83" ht="15" customHeight="1">
      <c r="B148" s="5"/>
      <c r="C148" s="5"/>
      <c r="D148" s="5"/>
      <c r="E148" s="5"/>
      <c r="F148" s="5"/>
      <c r="O148" s="5"/>
      <c r="P148" s="5"/>
      <c r="R148" s="5"/>
      <c r="AB148" s="5"/>
      <c r="AC148" s="5"/>
      <c r="AD148" s="5"/>
      <c r="AO148" s="5"/>
      <c r="AP148" s="5"/>
      <c r="AR148" s="5"/>
      <c r="AS148" s="5"/>
      <c r="AT148" s="5"/>
      <c r="AU148" s="5"/>
      <c r="AV148" s="5"/>
      <c r="AW148" s="5"/>
      <c r="AX148" s="5"/>
      <c r="BA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</row>
    <row r="149" spans="2:83" ht="15" customHeight="1">
      <c r="B149" s="5"/>
      <c r="C149" s="5"/>
      <c r="D149" s="5"/>
      <c r="E149" s="5"/>
      <c r="F149" s="5"/>
      <c r="O149" s="5"/>
      <c r="P149" s="5"/>
      <c r="R149" s="5"/>
      <c r="AB149" s="5"/>
      <c r="AC149" s="5"/>
      <c r="AD149" s="5"/>
      <c r="AO149" s="5"/>
      <c r="AP149" s="5"/>
      <c r="AR149" s="5"/>
      <c r="AS149" s="5"/>
      <c r="AT149" s="5"/>
      <c r="AU149" s="5"/>
      <c r="AV149" s="5"/>
      <c r="AW149" s="5"/>
      <c r="AX149" s="5"/>
      <c r="BA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</row>
    <row r="150" spans="2:83" ht="15" customHeight="1">
      <c r="B150" s="5"/>
      <c r="C150" s="5"/>
      <c r="D150" s="5"/>
      <c r="E150" s="5"/>
      <c r="F150" s="5"/>
      <c r="O150" s="5"/>
      <c r="P150" s="5"/>
      <c r="R150" s="5"/>
      <c r="AB150" s="5"/>
      <c r="AC150" s="5"/>
      <c r="AD150" s="5"/>
      <c r="AO150" s="5"/>
      <c r="AP150" s="5"/>
      <c r="AR150" s="5"/>
      <c r="AS150" s="5"/>
      <c r="AT150" s="5"/>
      <c r="AU150" s="5"/>
      <c r="AV150" s="5"/>
      <c r="AW150" s="5"/>
      <c r="AX150" s="5"/>
      <c r="BA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</row>
    <row r="151" spans="2:83" ht="15" customHeight="1">
      <c r="B151" s="5"/>
      <c r="C151" s="5"/>
      <c r="D151" s="5"/>
      <c r="E151" s="5"/>
      <c r="F151" s="5"/>
      <c r="O151" s="5"/>
      <c r="P151" s="5"/>
      <c r="R151" s="5"/>
      <c r="AB151" s="5"/>
      <c r="AC151" s="5"/>
      <c r="AD151" s="5"/>
      <c r="AO151" s="5"/>
      <c r="AP151" s="5"/>
      <c r="AR151" s="5"/>
      <c r="AS151" s="5"/>
      <c r="AT151" s="5"/>
      <c r="AU151" s="5"/>
      <c r="AV151" s="5"/>
      <c r="AW151" s="5"/>
      <c r="AX151" s="5"/>
      <c r="BA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</row>
    <row r="152" spans="2:83" ht="15" customHeight="1">
      <c r="B152" s="5"/>
      <c r="C152" s="5"/>
      <c r="D152" s="5"/>
      <c r="E152" s="5"/>
      <c r="F152" s="5"/>
      <c r="O152" s="5"/>
      <c r="P152" s="5"/>
      <c r="R152" s="5"/>
      <c r="AB152" s="5"/>
      <c r="AC152" s="5"/>
      <c r="AD152" s="5"/>
      <c r="AO152" s="5"/>
      <c r="AP152" s="5"/>
      <c r="AR152" s="5"/>
      <c r="AS152" s="5"/>
      <c r="AT152" s="5"/>
      <c r="AU152" s="5"/>
      <c r="AV152" s="5"/>
      <c r="AW152" s="5"/>
      <c r="AX152" s="5"/>
      <c r="BA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</row>
    <row r="153" spans="2:83" ht="15" customHeight="1">
      <c r="B153" s="5"/>
      <c r="C153" s="5"/>
      <c r="D153" s="5"/>
      <c r="E153" s="5"/>
      <c r="F153" s="5"/>
      <c r="O153" s="5"/>
      <c r="P153" s="5"/>
      <c r="R153" s="5"/>
      <c r="AB153" s="5"/>
      <c r="AC153" s="5"/>
      <c r="AD153" s="5"/>
      <c r="AO153" s="5"/>
      <c r="AP153" s="5"/>
      <c r="AR153" s="5"/>
      <c r="AS153" s="5"/>
      <c r="AT153" s="5"/>
      <c r="AU153" s="5"/>
      <c r="AV153" s="5"/>
      <c r="AW153" s="5"/>
      <c r="AX153" s="5"/>
      <c r="BA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</row>
    <row r="154" spans="2:83" ht="15" customHeight="1">
      <c r="B154" s="5"/>
      <c r="C154" s="5"/>
      <c r="D154" s="5"/>
      <c r="E154" s="5"/>
      <c r="F154" s="5"/>
      <c r="O154" s="5"/>
      <c r="P154" s="5"/>
      <c r="R154" s="5"/>
      <c r="AB154" s="5"/>
      <c r="AC154" s="5"/>
      <c r="AD154" s="5"/>
      <c r="AO154" s="5"/>
      <c r="AP154" s="5"/>
      <c r="AR154" s="5"/>
      <c r="AS154" s="5"/>
      <c r="AT154" s="5"/>
      <c r="AU154" s="5"/>
      <c r="AV154" s="5"/>
      <c r="AW154" s="5"/>
      <c r="AX154" s="5"/>
      <c r="BA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</row>
    <row r="155" spans="2:83" ht="15" customHeight="1">
      <c r="B155" s="5"/>
      <c r="C155" s="5"/>
      <c r="D155" s="5"/>
      <c r="E155" s="5"/>
      <c r="F155" s="5"/>
      <c r="O155" s="5"/>
      <c r="P155" s="5"/>
      <c r="R155" s="5"/>
      <c r="AB155" s="5"/>
      <c r="AC155" s="5"/>
      <c r="AD155" s="5"/>
      <c r="AO155" s="5"/>
      <c r="AP155" s="5"/>
      <c r="AR155" s="5"/>
      <c r="AS155" s="5"/>
      <c r="AT155" s="5"/>
      <c r="AU155" s="5"/>
      <c r="AV155" s="5"/>
      <c r="AW155" s="5"/>
      <c r="AX155" s="5"/>
      <c r="BA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</row>
    <row r="156" spans="2:83" ht="15" customHeight="1">
      <c r="B156" s="5"/>
      <c r="C156" s="5"/>
      <c r="D156" s="5"/>
      <c r="E156" s="5"/>
      <c r="F156" s="5"/>
      <c r="O156" s="5"/>
      <c r="P156" s="5"/>
      <c r="R156" s="5"/>
      <c r="AB156" s="5"/>
      <c r="AC156" s="5"/>
      <c r="AD156" s="5"/>
      <c r="AO156" s="5"/>
      <c r="AP156" s="5"/>
      <c r="AR156" s="5"/>
      <c r="AS156" s="5"/>
      <c r="AT156" s="5"/>
      <c r="AU156" s="5"/>
      <c r="AV156" s="5"/>
      <c r="AW156" s="5"/>
      <c r="AX156" s="5"/>
      <c r="BA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</row>
    <row r="157" spans="2:83" ht="15" customHeight="1">
      <c r="B157" s="5"/>
      <c r="C157" s="5"/>
      <c r="D157" s="5"/>
      <c r="E157" s="5"/>
      <c r="F157" s="5"/>
      <c r="O157" s="5"/>
      <c r="P157" s="5"/>
      <c r="R157" s="5"/>
      <c r="AB157" s="5"/>
      <c r="AC157" s="5"/>
      <c r="AD157" s="5"/>
      <c r="AO157" s="5"/>
      <c r="AP157" s="5"/>
      <c r="AR157" s="5"/>
      <c r="AS157" s="5"/>
      <c r="AT157" s="5"/>
      <c r="AU157" s="5"/>
      <c r="AV157" s="5"/>
      <c r="AW157" s="5"/>
      <c r="AX157" s="5"/>
      <c r="BA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</row>
    <row r="158" spans="2:83" ht="15" customHeight="1">
      <c r="B158" s="5"/>
      <c r="C158" s="5"/>
      <c r="D158" s="5"/>
      <c r="E158" s="5"/>
      <c r="F158" s="5"/>
      <c r="O158" s="5"/>
      <c r="P158" s="5"/>
      <c r="R158" s="5"/>
      <c r="AB158" s="5"/>
      <c r="AC158" s="5"/>
      <c r="AD158" s="5"/>
      <c r="AO158" s="5"/>
      <c r="AP158" s="5"/>
      <c r="AR158" s="5"/>
      <c r="AS158" s="5"/>
      <c r="AT158" s="5"/>
      <c r="AU158" s="5"/>
      <c r="AV158" s="5"/>
      <c r="AW158" s="5"/>
      <c r="AX158" s="5"/>
      <c r="BA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</row>
    <row r="159" spans="2:83" ht="15" customHeight="1">
      <c r="B159" s="5"/>
      <c r="C159" s="5"/>
      <c r="D159" s="5"/>
      <c r="E159" s="5"/>
      <c r="F159" s="5"/>
      <c r="O159" s="5"/>
      <c r="P159" s="5"/>
      <c r="R159" s="5"/>
      <c r="AB159" s="5"/>
      <c r="AC159" s="5"/>
      <c r="AD159" s="5"/>
      <c r="AO159" s="5"/>
      <c r="AP159" s="5"/>
      <c r="AR159" s="5"/>
      <c r="AS159" s="5"/>
      <c r="AT159" s="5"/>
      <c r="AU159" s="5"/>
      <c r="AV159" s="5"/>
      <c r="AW159" s="5"/>
      <c r="AX159" s="5"/>
      <c r="BA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</row>
    <row r="160" spans="2:83" ht="15" customHeight="1">
      <c r="B160" s="5"/>
      <c r="C160" s="5"/>
      <c r="D160" s="5"/>
      <c r="E160" s="5"/>
      <c r="F160" s="5"/>
      <c r="O160" s="5"/>
      <c r="P160" s="5"/>
      <c r="R160" s="5"/>
      <c r="AB160" s="5"/>
      <c r="AC160" s="5"/>
      <c r="AD160" s="5"/>
      <c r="AO160" s="5"/>
      <c r="AP160" s="5"/>
      <c r="AR160" s="5"/>
      <c r="AS160" s="5"/>
      <c r="AT160" s="5"/>
      <c r="AU160" s="5"/>
      <c r="AV160" s="5"/>
      <c r="AW160" s="5"/>
      <c r="AX160" s="5"/>
      <c r="BA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</row>
    <row r="161" spans="2:83" ht="15" customHeight="1">
      <c r="B161" s="5"/>
      <c r="C161" s="5"/>
      <c r="D161" s="5"/>
      <c r="E161" s="5"/>
      <c r="F161" s="5"/>
      <c r="O161" s="5"/>
      <c r="P161" s="5"/>
      <c r="R161" s="5"/>
      <c r="AB161" s="5"/>
      <c r="AC161" s="5"/>
      <c r="AD161" s="5"/>
      <c r="AO161" s="5"/>
      <c r="AP161" s="5"/>
      <c r="AR161" s="5"/>
      <c r="AS161" s="5"/>
      <c r="AT161" s="5"/>
      <c r="AU161" s="5"/>
      <c r="AV161" s="5"/>
      <c r="AW161" s="5"/>
      <c r="AX161" s="5"/>
      <c r="BA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</row>
    <row r="162" spans="2:83" ht="15" customHeight="1">
      <c r="B162" s="5"/>
      <c r="C162" s="5"/>
      <c r="D162" s="5"/>
      <c r="E162" s="5"/>
      <c r="F162" s="5"/>
      <c r="O162" s="5"/>
      <c r="P162" s="5"/>
      <c r="R162" s="5"/>
      <c r="AB162" s="5"/>
      <c r="AC162" s="5"/>
      <c r="AD162" s="5"/>
      <c r="AO162" s="5"/>
      <c r="AP162" s="5"/>
      <c r="AR162" s="5"/>
      <c r="AS162" s="5"/>
      <c r="AT162" s="5"/>
      <c r="AU162" s="5"/>
      <c r="AV162" s="5"/>
      <c r="AW162" s="5"/>
      <c r="AX162" s="5"/>
      <c r="BA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</row>
    <row r="163" spans="2:83" ht="15" customHeight="1">
      <c r="B163" s="5"/>
      <c r="C163" s="5"/>
      <c r="D163" s="5"/>
      <c r="E163" s="5"/>
      <c r="F163" s="5"/>
      <c r="O163" s="5"/>
      <c r="P163" s="5"/>
      <c r="R163" s="5"/>
      <c r="AB163" s="5"/>
      <c r="AC163" s="5"/>
      <c r="AD163" s="5"/>
      <c r="AO163" s="5"/>
      <c r="AP163" s="5"/>
      <c r="AR163" s="5"/>
      <c r="AS163" s="5"/>
      <c r="AT163" s="5"/>
      <c r="AU163" s="5"/>
      <c r="AV163" s="5"/>
      <c r="AW163" s="5"/>
      <c r="AX163" s="5"/>
      <c r="BA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</row>
    <row r="164" spans="2:83" ht="15" customHeight="1">
      <c r="B164" s="5"/>
      <c r="C164" s="5"/>
      <c r="D164" s="5"/>
      <c r="E164" s="5"/>
      <c r="F164" s="5"/>
      <c r="O164" s="5"/>
      <c r="P164" s="5"/>
      <c r="R164" s="5"/>
      <c r="AB164" s="5"/>
      <c r="AC164" s="5"/>
      <c r="AD164" s="5"/>
      <c r="AO164" s="5"/>
      <c r="AP164" s="5"/>
      <c r="AR164" s="5"/>
      <c r="AS164" s="5"/>
      <c r="AT164" s="5"/>
      <c r="AU164" s="5"/>
      <c r="AV164" s="5"/>
      <c r="AW164" s="5"/>
      <c r="AX164" s="5"/>
      <c r="BA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</row>
    <row r="165" spans="2:83" ht="15" customHeight="1">
      <c r="B165" s="5"/>
      <c r="C165" s="5"/>
      <c r="D165" s="5"/>
      <c r="E165" s="5"/>
      <c r="F165" s="5"/>
      <c r="O165" s="5"/>
      <c r="P165" s="5"/>
      <c r="R165" s="5"/>
      <c r="AB165" s="5"/>
      <c r="AC165" s="5"/>
      <c r="AD165" s="5"/>
      <c r="AO165" s="5"/>
      <c r="AP165" s="5"/>
      <c r="AR165" s="5"/>
      <c r="AS165" s="5"/>
      <c r="AT165" s="5"/>
      <c r="AU165" s="5"/>
      <c r="AV165" s="5"/>
      <c r="AW165" s="5"/>
      <c r="AX165" s="5"/>
      <c r="BA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</row>
    <row r="166" spans="2:83" ht="15" customHeight="1">
      <c r="B166" s="5"/>
      <c r="C166" s="5"/>
      <c r="D166" s="5"/>
      <c r="E166" s="5"/>
      <c r="F166" s="5"/>
      <c r="O166" s="5"/>
      <c r="P166" s="5"/>
      <c r="R166" s="5"/>
      <c r="AB166" s="5"/>
      <c r="AC166" s="5"/>
      <c r="AD166" s="5"/>
      <c r="AO166" s="5"/>
      <c r="AP166" s="5"/>
      <c r="AR166" s="5"/>
      <c r="AS166" s="5"/>
      <c r="AT166" s="5"/>
      <c r="AU166" s="5"/>
      <c r="AV166" s="5"/>
      <c r="AW166" s="5"/>
      <c r="AX166" s="5"/>
      <c r="BA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</row>
    <row r="167" spans="2:83" ht="15" customHeight="1">
      <c r="B167" s="5"/>
      <c r="C167" s="5"/>
      <c r="D167" s="5"/>
      <c r="E167" s="5"/>
      <c r="F167" s="5"/>
      <c r="O167" s="5"/>
      <c r="P167" s="5"/>
      <c r="R167" s="5"/>
      <c r="AB167" s="5"/>
      <c r="AC167" s="5"/>
      <c r="AD167" s="5"/>
      <c r="AO167" s="5"/>
      <c r="AP167" s="5"/>
      <c r="AR167" s="5"/>
      <c r="AS167" s="5"/>
      <c r="AT167" s="5"/>
      <c r="AU167" s="5"/>
      <c r="AV167" s="5"/>
      <c r="AW167" s="5"/>
      <c r="AX167" s="5"/>
      <c r="BA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</row>
    <row r="168" spans="2:83" ht="15" customHeight="1">
      <c r="B168" s="5"/>
      <c r="C168" s="5"/>
      <c r="D168" s="5"/>
      <c r="E168" s="5"/>
      <c r="F168" s="5"/>
      <c r="O168" s="5"/>
      <c r="P168" s="5"/>
      <c r="R168" s="5"/>
      <c r="AB168" s="5"/>
      <c r="AC168" s="5"/>
      <c r="AD168" s="5"/>
      <c r="AO168" s="5"/>
      <c r="AP168" s="5"/>
      <c r="AR168" s="5"/>
      <c r="AS168" s="5"/>
      <c r="AT168" s="5"/>
      <c r="AU168" s="5"/>
      <c r="AV168" s="5"/>
      <c r="AW168" s="5"/>
      <c r="AX168" s="5"/>
      <c r="BA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</row>
    <row r="169" spans="2:83" ht="15" customHeight="1">
      <c r="B169" s="5"/>
      <c r="C169" s="5"/>
      <c r="D169" s="5"/>
      <c r="E169" s="5"/>
      <c r="F169" s="5"/>
      <c r="O169" s="5"/>
      <c r="P169" s="5"/>
      <c r="R169" s="5"/>
      <c r="AB169" s="5"/>
      <c r="AC169" s="5"/>
      <c r="AD169" s="5"/>
      <c r="AO169" s="5"/>
      <c r="AP169" s="5"/>
      <c r="AR169" s="5"/>
      <c r="AS169" s="5"/>
      <c r="AT169" s="5"/>
      <c r="AU169" s="5"/>
      <c r="AV169" s="5"/>
      <c r="AW169" s="5"/>
      <c r="AX169" s="5"/>
      <c r="BA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</row>
    <row r="170" spans="2:83" ht="15" customHeight="1">
      <c r="B170" s="5"/>
      <c r="C170" s="5"/>
      <c r="D170" s="5"/>
      <c r="E170" s="5"/>
      <c r="F170" s="5"/>
      <c r="O170" s="5"/>
      <c r="P170" s="5"/>
      <c r="R170" s="5"/>
      <c r="AB170" s="5"/>
      <c r="AC170" s="5"/>
      <c r="AD170" s="5"/>
      <c r="AO170" s="5"/>
      <c r="AP170" s="5"/>
      <c r="AR170" s="5"/>
      <c r="AS170" s="5"/>
      <c r="AT170" s="5"/>
      <c r="AU170" s="5"/>
      <c r="AV170" s="5"/>
      <c r="AW170" s="5"/>
      <c r="AX170" s="5"/>
      <c r="BA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</row>
    <row r="171" spans="2:83" ht="15" customHeight="1">
      <c r="B171" s="5"/>
      <c r="C171" s="5"/>
      <c r="D171" s="5"/>
      <c r="E171" s="5"/>
      <c r="F171" s="5"/>
      <c r="O171" s="5"/>
      <c r="P171" s="5"/>
      <c r="R171" s="5"/>
      <c r="AB171" s="5"/>
      <c r="AC171" s="5"/>
      <c r="AD171" s="5"/>
      <c r="AO171" s="5"/>
      <c r="AP171" s="5"/>
      <c r="AR171" s="5"/>
      <c r="AS171" s="5"/>
      <c r="AT171" s="5"/>
      <c r="AU171" s="5"/>
      <c r="AV171" s="5"/>
      <c r="AW171" s="5"/>
      <c r="AX171" s="5"/>
      <c r="BA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</row>
    <row r="172" spans="2:83" ht="15" customHeight="1">
      <c r="B172" s="5"/>
      <c r="C172" s="5"/>
      <c r="D172" s="5"/>
      <c r="E172" s="5"/>
      <c r="F172" s="5"/>
      <c r="O172" s="5"/>
      <c r="P172" s="5"/>
      <c r="R172" s="5"/>
      <c r="AB172" s="5"/>
      <c r="AC172" s="5"/>
      <c r="AD172" s="5"/>
      <c r="AO172" s="5"/>
      <c r="AP172" s="5"/>
      <c r="AR172" s="5"/>
      <c r="AS172" s="5"/>
      <c r="AT172" s="5"/>
      <c r="AU172" s="5"/>
      <c r="AV172" s="5"/>
      <c r="AW172" s="5"/>
      <c r="AX172" s="5"/>
      <c r="BA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</row>
    <row r="173" spans="2:83" ht="15" customHeight="1">
      <c r="B173" s="5"/>
      <c r="C173" s="5"/>
      <c r="D173" s="5"/>
      <c r="E173" s="5"/>
      <c r="F173" s="5"/>
      <c r="O173" s="5"/>
      <c r="P173" s="5"/>
      <c r="R173" s="5"/>
      <c r="AB173" s="5"/>
      <c r="AC173" s="5"/>
      <c r="AD173" s="5"/>
      <c r="AO173" s="5"/>
      <c r="AP173" s="5"/>
      <c r="AR173" s="5"/>
      <c r="AS173" s="5"/>
      <c r="AT173" s="5"/>
      <c r="AU173" s="5"/>
      <c r="AV173" s="5"/>
      <c r="AW173" s="5"/>
      <c r="AX173" s="5"/>
      <c r="BA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</row>
    <row r="174" spans="2:83" ht="15" customHeight="1">
      <c r="B174" s="5"/>
      <c r="C174" s="5"/>
      <c r="D174" s="5"/>
      <c r="E174" s="5"/>
      <c r="F174" s="5"/>
      <c r="O174" s="5"/>
      <c r="P174" s="5"/>
      <c r="R174" s="5"/>
      <c r="AB174" s="5"/>
      <c r="AC174" s="5"/>
      <c r="AD174" s="5"/>
      <c r="AO174" s="5"/>
      <c r="AP174" s="5"/>
      <c r="AR174" s="5"/>
      <c r="AS174" s="5"/>
      <c r="AT174" s="5"/>
      <c r="AU174" s="5"/>
      <c r="AV174" s="5"/>
      <c r="AW174" s="5"/>
      <c r="AX174" s="5"/>
      <c r="BA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</row>
    <row r="175" spans="2:83" ht="15" customHeight="1">
      <c r="B175" s="5"/>
      <c r="C175" s="5"/>
      <c r="D175" s="5"/>
      <c r="E175" s="5"/>
      <c r="F175" s="5"/>
      <c r="O175" s="5"/>
      <c r="P175" s="5"/>
      <c r="R175" s="5"/>
      <c r="AB175" s="5"/>
      <c r="AC175" s="5"/>
      <c r="AD175" s="5"/>
      <c r="AO175" s="5"/>
      <c r="AP175" s="5"/>
      <c r="AR175" s="5"/>
      <c r="AS175" s="5"/>
      <c r="AT175" s="5"/>
      <c r="AU175" s="5"/>
      <c r="AV175" s="5"/>
      <c r="AW175" s="5"/>
      <c r="AX175" s="5"/>
      <c r="BA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</row>
    <row r="176" spans="2:83" ht="15" customHeight="1">
      <c r="B176" s="5"/>
      <c r="C176" s="5"/>
      <c r="D176" s="5"/>
      <c r="E176" s="5"/>
      <c r="F176" s="5"/>
      <c r="O176" s="5"/>
      <c r="P176" s="5"/>
      <c r="R176" s="5"/>
      <c r="AB176" s="5"/>
      <c r="AC176" s="5"/>
      <c r="AD176" s="5"/>
      <c r="AO176" s="5"/>
      <c r="AP176" s="5"/>
      <c r="AR176" s="5"/>
      <c r="AS176" s="5"/>
      <c r="AT176" s="5"/>
      <c r="AU176" s="5"/>
      <c r="AV176" s="5"/>
      <c r="AW176" s="5"/>
      <c r="AX176" s="5"/>
      <c r="BA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</row>
    <row r="177" spans="2:83" ht="15" customHeight="1">
      <c r="B177" s="5"/>
      <c r="C177" s="5"/>
      <c r="D177" s="5"/>
      <c r="E177" s="5"/>
      <c r="F177" s="5"/>
      <c r="O177" s="5"/>
      <c r="P177" s="5"/>
      <c r="R177" s="5"/>
      <c r="AB177" s="5"/>
      <c r="AC177" s="5"/>
      <c r="AD177" s="5"/>
      <c r="AO177" s="5"/>
      <c r="AP177" s="5"/>
      <c r="AR177" s="5"/>
      <c r="AS177" s="5"/>
      <c r="AT177" s="5"/>
      <c r="AU177" s="5"/>
      <c r="AV177" s="5"/>
      <c r="AW177" s="5"/>
      <c r="AX177" s="5"/>
      <c r="BA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</row>
    <row r="178" spans="2:83" ht="15" customHeight="1">
      <c r="B178" s="5"/>
      <c r="C178" s="5"/>
      <c r="D178" s="5"/>
      <c r="E178" s="5"/>
      <c r="F178" s="5"/>
      <c r="O178" s="5"/>
      <c r="P178" s="5"/>
      <c r="R178" s="5"/>
      <c r="AB178" s="5"/>
      <c r="AC178" s="5"/>
      <c r="AD178" s="5"/>
      <c r="AO178" s="5"/>
      <c r="AP178" s="5"/>
      <c r="AR178" s="5"/>
      <c r="AS178" s="5"/>
      <c r="AT178" s="5"/>
      <c r="AU178" s="5"/>
      <c r="AV178" s="5"/>
      <c r="AW178" s="5"/>
      <c r="AX178" s="5"/>
      <c r="BA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</row>
    <row r="179" spans="2:83" ht="15" customHeight="1">
      <c r="B179" s="5"/>
      <c r="C179" s="5"/>
      <c r="D179" s="5"/>
      <c r="E179" s="5"/>
      <c r="F179" s="5"/>
      <c r="O179" s="5"/>
      <c r="P179" s="5"/>
      <c r="R179" s="5"/>
      <c r="AB179" s="5"/>
      <c r="AC179" s="5"/>
      <c r="AD179" s="5"/>
      <c r="AO179" s="5"/>
      <c r="AP179" s="5"/>
      <c r="AR179" s="5"/>
      <c r="AS179" s="5"/>
      <c r="AT179" s="5"/>
      <c r="AU179" s="5"/>
      <c r="AV179" s="5"/>
      <c r="AW179" s="5"/>
      <c r="AX179" s="5"/>
      <c r="BA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</row>
    <row r="180" spans="2:83" ht="15" customHeight="1">
      <c r="B180" s="5"/>
      <c r="C180" s="5"/>
      <c r="D180" s="5"/>
      <c r="E180" s="5"/>
      <c r="F180" s="5"/>
      <c r="O180" s="5"/>
      <c r="P180" s="5"/>
      <c r="R180" s="5"/>
      <c r="AB180" s="5"/>
      <c r="AC180" s="5"/>
      <c r="AD180" s="5"/>
      <c r="AO180" s="5"/>
      <c r="AP180" s="5"/>
      <c r="AR180" s="5"/>
      <c r="AS180" s="5"/>
      <c r="AT180" s="5"/>
      <c r="AU180" s="5"/>
      <c r="AV180" s="5"/>
      <c r="AW180" s="5"/>
      <c r="AX180" s="5"/>
      <c r="BA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</row>
    <row r="181" spans="2:83" ht="15" customHeight="1">
      <c r="B181" s="5"/>
      <c r="C181" s="5"/>
      <c r="D181" s="5"/>
      <c r="E181" s="5"/>
      <c r="F181" s="5"/>
      <c r="O181" s="5"/>
      <c r="P181" s="5"/>
      <c r="R181" s="5"/>
      <c r="AB181" s="5"/>
      <c r="AC181" s="5"/>
      <c r="AD181" s="5"/>
      <c r="AO181" s="5"/>
      <c r="AP181" s="5"/>
      <c r="AR181" s="5"/>
      <c r="AS181" s="5"/>
      <c r="AT181" s="5"/>
      <c r="AU181" s="5"/>
      <c r="AV181" s="5"/>
      <c r="AW181" s="5"/>
      <c r="AX181" s="5"/>
      <c r="BA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</row>
    <row r="182" spans="2:83" ht="15" customHeight="1">
      <c r="B182" s="5"/>
      <c r="C182" s="5"/>
      <c r="D182" s="5"/>
      <c r="E182" s="5"/>
      <c r="F182" s="5"/>
      <c r="O182" s="5"/>
      <c r="P182" s="5"/>
      <c r="R182" s="5"/>
      <c r="AB182" s="5"/>
      <c r="AC182" s="5"/>
      <c r="AD182" s="5"/>
      <c r="AO182" s="5"/>
      <c r="AP182" s="5"/>
      <c r="AR182" s="5"/>
      <c r="AS182" s="5"/>
      <c r="AT182" s="5"/>
      <c r="AU182" s="5"/>
      <c r="AV182" s="5"/>
      <c r="AW182" s="5"/>
      <c r="AX182" s="5"/>
      <c r="BA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</row>
    <row r="183" spans="2:83" ht="15" customHeight="1">
      <c r="B183" s="5"/>
      <c r="C183" s="5"/>
      <c r="D183" s="5"/>
      <c r="E183" s="5"/>
      <c r="F183" s="5"/>
      <c r="O183" s="5"/>
      <c r="P183" s="5"/>
      <c r="R183" s="5"/>
      <c r="AB183" s="5"/>
      <c r="AC183" s="5"/>
      <c r="AD183" s="5"/>
      <c r="AO183" s="5"/>
      <c r="AP183" s="5"/>
      <c r="AR183" s="5"/>
      <c r="AS183" s="5"/>
      <c r="AT183" s="5"/>
      <c r="AU183" s="5"/>
      <c r="AV183" s="5"/>
      <c r="AW183" s="5"/>
      <c r="AX183" s="5"/>
      <c r="BA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</row>
    <row r="184" spans="2:83" ht="15" customHeight="1">
      <c r="B184" s="5"/>
      <c r="C184" s="5"/>
      <c r="D184" s="5"/>
      <c r="E184" s="5"/>
      <c r="F184" s="5"/>
      <c r="O184" s="5"/>
      <c r="P184" s="5"/>
      <c r="R184" s="5"/>
      <c r="AB184" s="5"/>
      <c r="AC184" s="5"/>
      <c r="AD184" s="5"/>
      <c r="AO184" s="5"/>
      <c r="AP184" s="5"/>
      <c r="AR184" s="5"/>
      <c r="AS184" s="5"/>
      <c r="AT184" s="5"/>
      <c r="AU184" s="5"/>
      <c r="AV184" s="5"/>
      <c r="AW184" s="5"/>
      <c r="AX184" s="5"/>
      <c r="BA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</row>
    <row r="185" spans="2:83" ht="15" customHeight="1">
      <c r="B185" s="5"/>
      <c r="C185" s="5"/>
      <c r="D185" s="5"/>
      <c r="E185" s="5"/>
      <c r="F185" s="5"/>
      <c r="O185" s="5"/>
      <c r="P185" s="5"/>
      <c r="R185" s="5"/>
      <c r="AB185" s="5"/>
      <c r="AC185" s="5"/>
      <c r="AD185" s="5"/>
      <c r="AO185" s="5"/>
      <c r="AP185" s="5"/>
      <c r="AR185" s="5"/>
      <c r="AS185" s="5"/>
      <c r="AT185" s="5"/>
      <c r="AU185" s="5"/>
      <c r="AV185" s="5"/>
      <c r="AW185" s="5"/>
      <c r="AX185" s="5"/>
      <c r="BA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</row>
    <row r="186" spans="2:83" ht="15" customHeight="1">
      <c r="B186" s="5"/>
      <c r="C186" s="5"/>
      <c r="D186" s="5"/>
      <c r="E186" s="5"/>
      <c r="F186" s="5"/>
      <c r="O186" s="5"/>
      <c r="P186" s="5"/>
      <c r="R186" s="5"/>
      <c r="AB186" s="5"/>
      <c r="AC186" s="5"/>
      <c r="AD186" s="5"/>
      <c r="AO186" s="5"/>
      <c r="AP186" s="5"/>
      <c r="AR186" s="5"/>
      <c r="AS186" s="5"/>
      <c r="AT186" s="5"/>
      <c r="AU186" s="5"/>
      <c r="AV186" s="5"/>
      <c r="AW186" s="5"/>
      <c r="AX186" s="5"/>
      <c r="BA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</row>
    <row r="187" spans="2:83" ht="15" customHeight="1">
      <c r="B187" s="5"/>
      <c r="C187" s="5"/>
      <c r="D187" s="5"/>
      <c r="E187" s="5"/>
      <c r="F187" s="5"/>
      <c r="O187" s="5"/>
      <c r="P187" s="5"/>
      <c r="R187" s="5"/>
      <c r="AB187" s="5"/>
      <c r="AC187" s="5"/>
      <c r="AD187" s="5"/>
      <c r="AO187" s="5"/>
      <c r="AP187" s="5"/>
      <c r="AR187" s="5"/>
      <c r="AS187" s="5"/>
      <c r="AT187" s="5"/>
      <c r="AU187" s="5"/>
      <c r="AV187" s="5"/>
      <c r="AW187" s="5"/>
      <c r="AX187" s="5"/>
      <c r="BA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</row>
    <row r="188" spans="2:83" ht="15" customHeight="1">
      <c r="B188" s="5"/>
      <c r="C188" s="5"/>
      <c r="D188" s="5"/>
      <c r="E188" s="5"/>
      <c r="F188" s="5"/>
      <c r="O188" s="5"/>
      <c r="P188" s="5"/>
      <c r="R188" s="5"/>
      <c r="AB188" s="5"/>
      <c r="AC188" s="5"/>
      <c r="AD188" s="5"/>
      <c r="AO188" s="5"/>
      <c r="AP188" s="5"/>
      <c r="AR188" s="5"/>
      <c r="AS188" s="5"/>
      <c r="AT188" s="5"/>
      <c r="AU188" s="5"/>
      <c r="AV188" s="5"/>
      <c r="AW188" s="5"/>
      <c r="AX188" s="5"/>
      <c r="BA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</row>
    <row r="189" spans="2:83" ht="15" customHeight="1">
      <c r="B189" s="5"/>
      <c r="C189" s="5"/>
      <c r="D189" s="5"/>
      <c r="E189" s="5"/>
      <c r="F189" s="5"/>
      <c r="O189" s="5"/>
      <c r="P189" s="5"/>
      <c r="R189" s="5"/>
      <c r="AB189" s="5"/>
      <c r="AC189" s="5"/>
      <c r="AD189" s="5"/>
      <c r="AO189" s="5"/>
      <c r="AP189" s="5"/>
      <c r="AR189" s="5"/>
      <c r="AS189" s="5"/>
      <c r="AT189" s="5"/>
      <c r="AU189" s="5"/>
      <c r="AV189" s="5"/>
      <c r="AW189" s="5"/>
      <c r="AX189" s="5"/>
      <c r="BA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</row>
    <row r="190" spans="2:83" ht="15" customHeight="1">
      <c r="B190" s="5"/>
      <c r="C190" s="5"/>
      <c r="D190" s="5"/>
      <c r="E190" s="5"/>
      <c r="F190" s="5"/>
      <c r="O190" s="5"/>
      <c r="P190" s="5"/>
      <c r="R190" s="5"/>
      <c r="AB190" s="5"/>
      <c r="AC190" s="5"/>
      <c r="AD190" s="5"/>
      <c r="AO190" s="5"/>
      <c r="AP190" s="5"/>
      <c r="AR190" s="5"/>
      <c r="AS190" s="5"/>
      <c r="AT190" s="5"/>
      <c r="AU190" s="5"/>
      <c r="AV190" s="5"/>
      <c r="AW190" s="5"/>
      <c r="AX190" s="5"/>
      <c r="BA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</row>
    <row r="191" spans="2:83" ht="15" customHeight="1">
      <c r="B191" s="5"/>
      <c r="C191" s="5"/>
      <c r="D191" s="5"/>
      <c r="E191" s="5"/>
      <c r="F191" s="5"/>
      <c r="O191" s="5"/>
      <c r="P191" s="5"/>
      <c r="R191" s="5"/>
      <c r="AB191" s="5"/>
      <c r="AC191" s="5"/>
      <c r="AD191" s="5"/>
      <c r="AO191" s="5"/>
      <c r="AP191" s="5"/>
      <c r="AR191" s="5"/>
      <c r="AS191" s="5"/>
      <c r="AT191" s="5"/>
      <c r="AU191" s="5"/>
      <c r="AV191" s="5"/>
      <c r="AW191" s="5"/>
      <c r="AX191" s="5"/>
      <c r="BA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</row>
    <row r="192" spans="2:83" ht="15" customHeight="1">
      <c r="B192" s="5"/>
      <c r="C192" s="5"/>
      <c r="D192" s="5"/>
      <c r="E192" s="5"/>
      <c r="F192" s="5"/>
      <c r="O192" s="5"/>
      <c r="P192" s="5"/>
      <c r="R192" s="5"/>
      <c r="AB192" s="5"/>
      <c r="AC192" s="5"/>
      <c r="AD192" s="5"/>
      <c r="AO192" s="5"/>
      <c r="AP192" s="5"/>
      <c r="AR192" s="5"/>
      <c r="AS192" s="5"/>
      <c r="AT192" s="5"/>
      <c r="AU192" s="5"/>
      <c r="AV192" s="5"/>
      <c r="AW192" s="5"/>
      <c r="AX192" s="5"/>
      <c r="BA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</row>
    <row r="193" spans="2:83" ht="15" customHeight="1">
      <c r="B193" s="5"/>
      <c r="C193" s="5"/>
      <c r="D193" s="5"/>
      <c r="E193" s="5"/>
      <c r="F193" s="5"/>
      <c r="O193" s="5"/>
      <c r="P193" s="5"/>
      <c r="R193" s="5"/>
      <c r="AB193" s="5"/>
      <c r="AC193" s="5"/>
      <c r="AD193" s="5"/>
      <c r="AO193" s="5"/>
      <c r="AP193" s="5"/>
      <c r="AR193" s="5"/>
      <c r="AS193" s="5"/>
      <c r="AT193" s="5"/>
      <c r="AU193" s="5"/>
      <c r="AV193" s="5"/>
      <c r="AW193" s="5"/>
      <c r="AX193" s="5"/>
      <c r="BA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</row>
    <row r="194" spans="2:83" ht="15" customHeight="1">
      <c r="B194" s="5"/>
      <c r="C194" s="5"/>
      <c r="D194" s="5"/>
      <c r="E194" s="5"/>
      <c r="F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</row>
    <row r="195" spans="2:83" ht="15" customHeight="1">
      <c r="B195" s="5"/>
      <c r="C195" s="5"/>
      <c r="D195" s="5"/>
      <c r="E195" s="5"/>
      <c r="F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</row>
    <row r="196" spans="2:83" ht="15" customHeight="1">
      <c r="B196" s="5"/>
      <c r="C196" s="5"/>
      <c r="D196" s="5"/>
      <c r="E196" s="5"/>
      <c r="F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</row>
    <row r="197" spans="2:83" ht="15" customHeight="1">
      <c r="B197" s="5"/>
      <c r="C197" s="5"/>
      <c r="D197" s="5"/>
      <c r="E197" s="5"/>
      <c r="F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</row>
    <row r="198" spans="2:83" ht="15" customHeight="1">
      <c r="B198" s="5"/>
      <c r="C198" s="5"/>
      <c r="D198" s="5"/>
      <c r="E198" s="5"/>
      <c r="F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</row>
    <row r="199" spans="2:83" ht="15" customHeight="1"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</row>
    <row r="200" spans="2:83" ht="15" customHeight="1">
      <c r="B200" s="84"/>
      <c r="C200" s="84"/>
      <c r="D200" s="84"/>
      <c r="E200" s="84"/>
      <c r="F200" s="84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</row>
    <row r="201" spans="2:83" ht="15" customHeight="1"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</row>
    <row r="202" spans="2:83" ht="15" customHeight="1"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</row>
    <row r="203" spans="2:83" ht="15" customHeight="1"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</row>
    <row r="204" spans="2:83" ht="15" customHeight="1"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</row>
    <row r="205" spans="2:83" ht="15" customHeight="1"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</row>
    <row r="206" spans="2:83" ht="15" customHeight="1"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</row>
    <row r="207" spans="2:83" ht="15" customHeight="1"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</row>
    <row r="208" spans="2:83" ht="15" customHeight="1"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</row>
    <row r="209" spans="57:83" ht="15" customHeight="1"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</row>
    <row r="210" spans="57:83" ht="15" customHeight="1"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</row>
    <row r="211" spans="57:83" ht="15" customHeight="1"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</row>
    <row r="212" spans="57:83" ht="15" customHeight="1"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</row>
    <row r="213" spans="57:83" ht="15" customHeight="1"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</row>
    <row r="214" spans="57:83" ht="15" customHeight="1"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</row>
    <row r="215" spans="57:83" ht="15" customHeight="1"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</row>
    <row r="216" spans="57:83" ht="15" customHeight="1"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</row>
    <row r="217" spans="57:83" ht="15" customHeight="1"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</row>
    <row r="218" spans="57:83" ht="15" customHeight="1"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</row>
    <row r="219" spans="57:83" ht="15" customHeight="1"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</row>
    <row r="220" spans="57:83" ht="15" customHeight="1"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</row>
    <row r="221" spans="57:83" ht="15" customHeight="1"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</row>
    <row r="222" spans="57:83" ht="15" customHeight="1"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</row>
    <row r="223" spans="57:83" ht="15" customHeight="1"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</row>
    <row r="224" spans="57:83" ht="15" customHeight="1"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</row>
    <row r="225" spans="57:83" ht="15" customHeight="1"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</row>
    <row r="226" spans="57:83" ht="15" customHeight="1"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</row>
    <row r="227" spans="57:83" ht="15" customHeight="1"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</row>
    <row r="228" spans="57:83" ht="15" customHeight="1"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</row>
    <row r="229" spans="57:83" ht="15" customHeight="1"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</row>
    <row r="230" spans="57:83" ht="15" customHeight="1"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</row>
    <row r="231" spans="57:83" ht="15" customHeight="1"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</row>
    <row r="232" spans="57:83" ht="15" customHeight="1"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</row>
    <row r="233" spans="57:83" ht="15" customHeight="1"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</row>
    <row r="234" spans="57:83" ht="15" customHeight="1"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</row>
    <row r="235" spans="57:83" ht="15" customHeight="1"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</row>
    <row r="236" spans="57:83" ht="15" customHeight="1"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</row>
    <row r="237" spans="57:83" ht="15" customHeight="1"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</row>
    <row r="238" spans="57:83" ht="15" customHeight="1"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</row>
    <row r="239" spans="57:83" ht="15" customHeight="1"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</row>
    <row r="240" spans="57:83" ht="15" customHeight="1"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</row>
    <row r="241" spans="2:83" ht="15" customHeight="1"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</row>
    <row r="242" spans="2:83" ht="15" customHeight="1"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</row>
    <row r="243" spans="2:83" ht="15" customHeight="1"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</row>
    <row r="244" spans="2:83" ht="15" customHeight="1"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</row>
    <row r="245" spans="2:83" s="5" customFormat="1" ht="15" customHeight="1">
      <c r="B245" s="6"/>
      <c r="C245" s="6"/>
      <c r="D245" s="6"/>
      <c r="E245" s="6"/>
      <c r="F245" s="6"/>
      <c r="O245" s="6"/>
      <c r="P245" s="25"/>
      <c r="R245" s="6"/>
      <c r="AB245" s="15"/>
      <c r="AC245" s="24"/>
      <c r="AD245" s="15"/>
      <c r="AO245" s="11"/>
      <c r="AP245" s="11"/>
      <c r="AR245" s="9"/>
      <c r="AS245" s="15"/>
      <c r="AT245" s="9"/>
      <c r="AU245" s="23"/>
      <c r="AV245" s="15"/>
      <c r="AW245" s="15"/>
      <c r="AX245" s="18"/>
      <c r="BA245" s="12"/>
      <c r="BC245" s="6"/>
      <c r="BD245" s="6"/>
    </row>
    <row r="246" spans="2:83" s="5" customFormat="1" ht="15" customHeight="1">
      <c r="B246" s="6"/>
      <c r="C246" s="6"/>
      <c r="D246" s="6"/>
      <c r="E246" s="6"/>
      <c r="F246" s="6"/>
      <c r="O246" s="6"/>
      <c r="P246" s="25"/>
      <c r="R246" s="6"/>
      <c r="AB246" s="15"/>
      <c r="AC246" s="24"/>
      <c r="AD246" s="15"/>
      <c r="AO246" s="11"/>
      <c r="AP246" s="11"/>
      <c r="AR246" s="9"/>
      <c r="AS246" s="15"/>
      <c r="AT246" s="9"/>
      <c r="AU246" s="23"/>
      <c r="AV246" s="15"/>
      <c r="AW246" s="15"/>
      <c r="AX246" s="18"/>
      <c r="BA246" s="12"/>
      <c r="BC246" s="6"/>
      <c r="BD246" s="6"/>
    </row>
    <row r="247" spans="2:83" s="5" customFormat="1" ht="15" customHeight="1">
      <c r="B247" s="6"/>
      <c r="C247" s="6"/>
      <c r="D247" s="6"/>
      <c r="E247" s="6"/>
      <c r="F247" s="6"/>
      <c r="O247" s="6"/>
      <c r="P247" s="25"/>
      <c r="R247" s="6"/>
      <c r="AB247" s="15"/>
      <c r="AC247" s="24"/>
      <c r="AD247" s="15"/>
      <c r="AO247" s="11"/>
      <c r="AP247" s="11"/>
      <c r="AR247" s="9"/>
      <c r="AS247" s="15"/>
      <c r="AT247" s="9"/>
      <c r="AU247" s="23"/>
      <c r="AV247" s="15"/>
      <c r="AW247" s="15"/>
      <c r="AX247" s="18"/>
      <c r="BA247" s="12"/>
      <c r="BC247" s="6"/>
      <c r="BD247" s="6"/>
    </row>
    <row r="248" spans="2:83" s="5" customFormat="1" ht="15" customHeight="1">
      <c r="B248" s="6"/>
      <c r="C248" s="6"/>
      <c r="D248" s="6"/>
      <c r="E248" s="6"/>
      <c r="F248" s="6"/>
      <c r="O248" s="6"/>
      <c r="P248" s="25"/>
      <c r="R248" s="6"/>
      <c r="AB248" s="15"/>
      <c r="AC248" s="24"/>
      <c r="AD248" s="15"/>
      <c r="AO248" s="11"/>
      <c r="AP248" s="11"/>
      <c r="AR248" s="9"/>
      <c r="AS248" s="15"/>
      <c r="AT248" s="9"/>
      <c r="AU248" s="23"/>
      <c r="AV248" s="15"/>
      <c r="AW248" s="15"/>
      <c r="AX248" s="18"/>
      <c r="BA248" s="12"/>
      <c r="BC248" s="6"/>
      <c r="BD248" s="6"/>
    </row>
    <row r="249" spans="2:83" s="5" customFormat="1" ht="15" customHeight="1">
      <c r="B249" s="6"/>
      <c r="C249" s="6"/>
      <c r="D249" s="6"/>
      <c r="E249" s="6"/>
      <c r="F249" s="6"/>
      <c r="O249" s="6"/>
      <c r="P249" s="25"/>
      <c r="R249" s="6"/>
      <c r="AB249" s="15"/>
      <c r="AC249" s="24"/>
      <c r="AD249" s="15"/>
      <c r="AO249" s="11"/>
      <c r="AP249" s="11"/>
      <c r="AR249" s="9"/>
      <c r="AS249" s="15"/>
      <c r="AT249" s="9"/>
      <c r="AU249" s="23"/>
      <c r="AV249" s="15"/>
      <c r="AW249" s="15"/>
      <c r="AX249" s="18"/>
      <c r="BA249" s="12"/>
      <c r="BC249" s="6"/>
      <c r="BD249" s="6"/>
    </row>
    <row r="250" spans="2:83" s="5" customFormat="1" ht="15" customHeight="1">
      <c r="B250" s="6"/>
      <c r="C250" s="6"/>
      <c r="D250" s="6"/>
      <c r="E250" s="6"/>
      <c r="F250" s="6"/>
      <c r="O250" s="6"/>
      <c r="P250" s="25"/>
      <c r="R250" s="6"/>
      <c r="AB250" s="15"/>
      <c r="AC250" s="24"/>
      <c r="AD250" s="15"/>
      <c r="AO250" s="11"/>
      <c r="AP250" s="11"/>
      <c r="AR250" s="9"/>
      <c r="AS250" s="15"/>
      <c r="AT250" s="9"/>
      <c r="AU250" s="23"/>
      <c r="AV250" s="15"/>
      <c r="AW250" s="15"/>
      <c r="AX250" s="18"/>
      <c r="BA250" s="12"/>
      <c r="BC250" s="6"/>
      <c r="BD250" s="6"/>
    </row>
    <row r="251" spans="2:83" s="5" customFormat="1" ht="15" customHeight="1">
      <c r="B251" s="6"/>
      <c r="C251" s="6"/>
      <c r="D251" s="6"/>
      <c r="E251" s="6"/>
      <c r="F251" s="6"/>
      <c r="O251" s="6"/>
      <c r="P251" s="25"/>
      <c r="R251" s="6"/>
      <c r="AB251" s="15"/>
      <c r="AC251" s="24"/>
      <c r="AD251" s="15"/>
      <c r="AO251" s="11"/>
      <c r="AP251" s="11"/>
      <c r="AR251" s="9"/>
      <c r="AS251" s="15"/>
      <c r="AT251" s="9"/>
      <c r="AU251" s="23"/>
      <c r="AV251" s="15"/>
      <c r="AW251" s="15"/>
      <c r="AX251" s="18"/>
      <c r="BA251" s="12"/>
      <c r="BC251" s="6"/>
      <c r="BD251" s="6"/>
    </row>
    <row r="252" spans="2:83" s="5" customFormat="1" ht="15" customHeight="1">
      <c r="B252" s="6"/>
      <c r="C252" s="6"/>
      <c r="D252" s="6"/>
      <c r="E252" s="6"/>
      <c r="F252" s="6"/>
      <c r="O252" s="6"/>
      <c r="P252" s="25"/>
      <c r="R252" s="6"/>
      <c r="AB252" s="15"/>
      <c r="AC252" s="24"/>
      <c r="AD252" s="15"/>
      <c r="AO252" s="11"/>
      <c r="AP252" s="11"/>
      <c r="AR252" s="9"/>
      <c r="AS252" s="15"/>
      <c r="AT252" s="9"/>
      <c r="AU252" s="23"/>
      <c r="AV252" s="15"/>
      <c r="AW252" s="15"/>
      <c r="AX252" s="18"/>
      <c r="BA252" s="12"/>
      <c r="BC252" s="6"/>
      <c r="BD252" s="6"/>
    </row>
    <row r="253" spans="2:83" s="5" customFormat="1" ht="15" customHeight="1">
      <c r="B253" s="6"/>
      <c r="C253" s="6"/>
      <c r="D253" s="6"/>
      <c r="E253" s="6"/>
      <c r="F253" s="6"/>
      <c r="O253" s="6"/>
      <c r="P253" s="25"/>
      <c r="R253" s="6"/>
      <c r="AB253" s="15"/>
      <c r="AC253" s="24"/>
      <c r="AD253" s="15"/>
      <c r="AO253" s="11"/>
      <c r="AP253" s="11"/>
      <c r="AR253" s="9"/>
      <c r="AS253" s="15"/>
      <c r="AT253" s="9"/>
      <c r="AU253" s="23"/>
      <c r="AV253" s="15"/>
      <c r="AW253" s="15"/>
      <c r="AX253" s="18"/>
      <c r="BA253" s="12"/>
      <c r="BC253" s="6"/>
      <c r="BD253" s="6"/>
    </row>
    <row r="254" spans="2:83" s="5" customFormat="1" ht="15" customHeight="1">
      <c r="B254" s="6"/>
      <c r="C254" s="6"/>
      <c r="D254" s="6"/>
      <c r="E254" s="6"/>
      <c r="F254" s="6"/>
      <c r="O254" s="6"/>
      <c r="P254" s="25"/>
      <c r="R254" s="6"/>
      <c r="AB254" s="15"/>
      <c r="AC254" s="24"/>
      <c r="AD254" s="15"/>
      <c r="AO254" s="11"/>
      <c r="AP254" s="11"/>
      <c r="AR254" s="9"/>
      <c r="AS254" s="15"/>
      <c r="AT254" s="9"/>
      <c r="AU254" s="23"/>
      <c r="AV254" s="15"/>
      <c r="AW254" s="15"/>
      <c r="AX254" s="18"/>
      <c r="BA254" s="12"/>
      <c r="BC254" s="6"/>
      <c r="BD254" s="6"/>
    </row>
    <row r="255" spans="2:83" s="5" customFormat="1" ht="15" customHeight="1">
      <c r="B255" s="6"/>
      <c r="C255" s="6"/>
      <c r="D255" s="6"/>
      <c r="E255" s="6"/>
      <c r="F255" s="6"/>
      <c r="O255" s="6"/>
      <c r="P255" s="25"/>
      <c r="R255" s="6"/>
      <c r="AB255" s="15"/>
      <c r="AC255" s="24"/>
      <c r="AD255" s="15"/>
      <c r="AO255" s="11"/>
      <c r="AP255" s="11"/>
      <c r="AR255" s="9"/>
      <c r="AS255" s="15"/>
      <c r="AT255" s="9"/>
      <c r="AU255" s="23"/>
      <c r="AV255" s="15"/>
      <c r="AW255" s="15"/>
      <c r="AX255" s="18"/>
      <c r="BA255" s="12"/>
      <c r="BC255" s="6"/>
      <c r="BD255" s="6"/>
    </row>
    <row r="256" spans="2:83" s="5" customFormat="1" ht="15" customHeight="1">
      <c r="B256" s="6"/>
      <c r="C256" s="6"/>
      <c r="D256" s="6"/>
      <c r="E256" s="6"/>
      <c r="F256" s="6"/>
      <c r="O256" s="6"/>
      <c r="P256" s="25"/>
      <c r="R256" s="6"/>
      <c r="AB256" s="15"/>
      <c r="AC256" s="24"/>
      <c r="AD256" s="15"/>
      <c r="AO256" s="11"/>
      <c r="AP256" s="11"/>
      <c r="AR256" s="9"/>
      <c r="AS256" s="15"/>
      <c r="AT256" s="9"/>
      <c r="AU256" s="23"/>
      <c r="AV256" s="15"/>
      <c r="AW256" s="15"/>
      <c r="AX256" s="18"/>
      <c r="BA256" s="12"/>
      <c r="BC256" s="6"/>
      <c r="BD256" s="6"/>
    </row>
    <row r="257" spans="2:56" s="5" customFormat="1" ht="15" customHeight="1">
      <c r="B257" s="6"/>
      <c r="C257" s="6"/>
      <c r="D257" s="6"/>
      <c r="E257" s="6"/>
      <c r="F257" s="6"/>
      <c r="O257" s="6"/>
      <c r="P257" s="25"/>
      <c r="R257" s="6"/>
      <c r="AB257" s="15"/>
      <c r="AC257" s="24"/>
      <c r="AD257" s="15"/>
      <c r="AO257" s="11"/>
      <c r="AP257" s="11"/>
      <c r="AR257" s="9"/>
      <c r="AS257" s="15"/>
      <c r="AT257" s="9"/>
      <c r="AU257" s="23"/>
      <c r="AV257" s="15"/>
      <c r="AW257" s="15"/>
      <c r="AX257" s="18"/>
      <c r="BA257" s="12"/>
      <c r="BC257" s="6"/>
      <c r="BD257" s="6"/>
    </row>
    <row r="258" spans="2:56" s="5" customFormat="1" ht="15" customHeight="1">
      <c r="B258" s="6"/>
      <c r="C258" s="6"/>
      <c r="D258" s="6"/>
      <c r="E258" s="6"/>
      <c r="F258" s="6"/>
      <c r="O258" s="6"/>
      <c r="P258" s="25"/>
      <c r="R258" s="6"/>
      <c r="AB258" s="15"/>
      <c r="AC258" s="24"/>
      <c r="AD258" s="15"/>
      <c r="AO258" s="11"/>
      <c r="AP258" s="11"/>
      <c r="AR258" s="9"/>
      <c r="AS258" s="15"/>
      <c r="AT258" s="9"/>
      <c r="AU258" s="23"/>
      <c r="AV258" s="15"/>
      <c r="AW258" s="15"/>
      <c r="AX258" s="18"/>
      <c r="BA258" s="12"/>
      <c r="BC258" s="6"/>
      <c r="BD258" s="6"/>
    </row>
    <row r="259" spans="2:56" s="5" customFormat="1" ht="15" customHeight="1">
      <c r="B259" s="6"/>
      <c r="C259" s="6"/>
      <c r="D259" s="6"/>
      <c r="E259" s="6"/>
      <c r="F259" s="6"/>
      <c r="O259" s="6"/>
      <c r="P259" s="25"/>
      <c r="R259" s="6"/>
      <c r="AB259" s="15"/>
      <c r="AC259" s="24"/>
      <c r="AD259" s="15"/>
      <c r="AO259" s="11"/>
      <c r="AP259" s="11"/>
      <c r="AR259" s="9"/>
      <c r="AS259" s="15"/>
      <c r="AT259" s="9"/>
      <c r="AU259" s="23"/>
      <c r="AV259" s="15"/>
      <c r="AW259" s="15"/>
      <c r="AX259" s="18"/>
      <c r="BA259" s="12"/>
      <c r="BC259" s="6"/>
      <c r="BD259" s="6"/>
    </row>
    <row r="260" spans="2:56" s="5" customFormat="1" ht="15" customHeight="1">
      <c r="B260" s="6"/>
      <c r="C260" s="6"/>
      <c r="D260" s="6"/>
      <c r="E260" s="6"/>
      <c r="F260" s="6"/>
      <c r="O260" s="6"/>
      <c r="P260" s="25"/>
      <c r="R260" s="6"/>
      <c r="AB260" s="15"/>
      <c r="AC260" s="24"/>
      <c r="AD260" s="15"/>
      <c r="AO260" s="11"/>
      <c r="AP260" s="11"/>
      <c r="AR260" s="9"/>
      <c r="AS260" s="15"/>
      <c r="AT260" s="9"/>
      <c r="AU260" s="23"/>
      <c r="AV260" s="15"/>
      <c r="AW260" s="15"/>
      <c r="AX260" s="18"/>
      <c r="BA260" s="12"/>
      <c r="BC260" s="6"/>
      <c r="BD260" s="6"/>
    </row>
    <row r="261" spans="2:56" s="5" customFormat="1" ht="15" customHeight="1">
      <c r="B261" s="6"/>
      <c r="C261" s="6"/>
      <c r="D261" s="6"/>
      <c r="E261" s="6"/>
      <c r="F261" s="6"/>
      <c r="O261" s="6"/>
      <c r="P261" s="25"/>
      <c r="R261" s="6"/>
      <c r="AB261" s="15"/>
      <c r="AC261" s="24"/>
      <c r="AD261" s="15"/>
      <c r="AO261" s="11"/>
      <c r="AP261" s="11"/>
      <c r="AR261" s="9"/>
      <c r="AS261" s="15"/>
      <c r="AT261" s="9"/>
      <c r="AU261" s="23"/>
      <c r="AV261" s="15"/>
      <c r="AW261" s="15"/>
      <c r="AX261" s="18"/>
      <c r="BA261" s="12"/>
      <c r="BC261" s="6"/>
      <c r="BD261" s="6"/>
    </row>
    <row r="262" spans="2:56" s="5" customFormat="1" ht="15" customHeight="1">
      <c r="B262" s="6"/>
      <c r="C262" s="6"/>
      <c r="D262" s="6"/>
      <c r="E262" s="6"/>
      <c r="F262" s="6"/>
      <c r="O262" s="6"/>
      <c r="P262" s="25"/>
      <c r="R262" s="6"/>
      <c r="AB262" s="15"/>
      <c r="AC262" s="24"/>
      <c r="AD262" s="15"/>
      <c r="AO262" s="11"/>
      <c r="AP262" s="11"/>
      <c r="AR262" s="9"/>
      <c r="AS262" s="15"/>
      <c r="AT262" s="9"/>
      <c r="AU262" s="23"/>
      <c r="AV262" s="15"/>
      <c r="AW262" s="15"/>
      <c r="AX262" s="18"/>
      <c r="BA262" s="12"/>
      <c r="BC262" s="6"/>
      <c r="BD262" s="6"/>
    </row>
    <row r="263" spans="2:56" s="5" customFormat="1" ht="15" customHeight="1">
      <c r="B263" s="6"/>
      <c r="C263" s="6"/>
      <c r="D263" s="6"/>
      <c r="E263" s="6"/>
      <c r="F263" s="6"/>
      <c r="O263" s="6"/>
      <c r="P263" s="25"/>
      <c r="R263" s="6"/>
      <c r="AB263" s="15"/>
      <c r="AC263" s="24"/>
      <c r="AD263" s="15"/>
      <c r="AO263" s="11"/>
      <c r="AP263" s="11"/>
      <c r="AR263" s="9"/>
      <c r="AS263" s="15"/>
      <c r="AT263" s="9"/>
      <c r="AU263" s="23"/>
      <c r="AV263" s="15"/>
      <c r="AW263" s="15"/>
      <c r="AX263" s="18"/>
      <c r="BA263" s="12"/>
      <c r="BC263" s="6"/>
      <c r="BD263" s="6"/>
    </row>
    <row r="264" spans="2:56" s="5" customFormat="1" ht="15" customHeight="1">
      <c r="B264" s="6"/>
      <c r="C264" s="6"/>
      <c r="D264" s="6"/>
      <c r="E264" s="6"/>
      <c r="F264" s="6"/>
      <c r="O264" s="6"/>
      <c r="P264" s="25"/>
      <c r="R264" s="6"/>
      <c r="AB264" s="15"/>
      <c r="AC264" s="24"/>
      <c r="AD264" s="15"/>
      <c r="AO264" s="11"/>
      <c r="AP264" s="11"/>
      <c r="AR264" s="9"/>
      <c r="AS264" s="15"/>
      <c r="AT264" s="9"/>
      <c r="AU264" s="23"/>
      <c r="AV264" s="15"/>
      <c r="AW264" s="15"/>
      <c r="AX264" s="18"/>
      <c r="BA264" s="12"/>
      <c r="BC264" s="6"/>
      <c r="BD264" s="6"/>
    </row>
    <row r="265" spans="2:56" s="5" customFormat="1" ht="15" customHeight="1">
      <c r="B265" s="6"/>
      <c r="C265" s="6"/>
      <c r="D265" s="6"/>
      <c r="E265" s="6"/>
      <c r="F265" s="6"/>
      <c r="O265" s="6"/>
      <c r="P265" s="25"/>
      <c r="R265" s="6"/>
      <c r="AB265" s="15"/>
      <c r="AC265" s="24"/>
      <c r="AD265" s="15"/>
      <c r="AO265" s="11"/>
      <c r="AP265" s="11"/>
      <c r="AR265" s="9"/>
      <c r="AS265" s="15"/>
      <c r="AT265" s="9"/>
      <c r="AU265" s="23"/>
      <c r="AV265" s="15"/>
      <c r="AW265" s="15"/>
      <c r="AX265" s="18"/>
      <c r="BA265" s="12"/>
      <c r="BC265" s="6"/>
      <c r="BD265" s="6"/>
    </row>
    <row r="266" spans="2:56" s="5" customFormat="1" ht="15" customHeight="1">
      <c r="B266" s="6"/>
      <c r="C266" s="6"/>
      <c r="D266" s="6"/>
      <c r="E266" s="6"/>
      <c r="F266" s="6"/>
      <c r="O266" s="6"/>
      <c r="P266" s="25"/>
      <c r="R266" s="6"/>
      <c r="AB266" s="15"/>
      <c r="AC266" s="24"/>
      <c r="AD266" s="15"/>
      <c r="AO266" s="11"/>
      <c r="AP266" s="11"/>
      <c r="AR266" s="9"/>
      <c r="AS266" s="15"/>
      <c r="AT266" s="9"/>
      <c r="AU266" s="23"/>
      <c r="AV266" s="15"/>
      <c r="AW266" s="15"/>
      <c r="AX266" s="18"/>
      <c r="BA266" s="12"/>
      <c r="BC266" s="6"/>
      <c r="BD266" s="6"/>
    </row>
    <row r="267" spans="2:56" s="5" customFormat="1" ht="15" customHeight="1">
      <c r="B267" s="6"/>
      <c r="C267" s="6"/>
      <c r="D267" s="6"/>
      <c r="E267" s="6"/>
      <c r="F267" s="6"/>
      <c r="O267" s="6"/>
      <c r="P267" s="25"/>
      <c r="R267" s="6"/>
      <c r="AB267" s="15"/>
      <c r="AC267" s="24"/>
      <c r="AD267" s="15"/>
      <c r="AO267" s="11"/>
      <c r="AP267" s="11"/>
      <c r="AR267" s="9"/>
      <c r="AS267" s="15"/>
      <c r="AT267" s="9"/>
      <c r="AU267" s="23"/>
      <c r="AV267" s="15"/>
      <c r="AW267" s="15"/>
      <c r="AX267" s="18"/>
      <c r="BA267" s="12"/>
      <c r="BC267" s="6"/>
      <c r="BD267" s="6"/>
    </row>
    <row r="268" spans="2:56" s="5" customFormat="1" ht="15" customHeight="1">
      <c r="B268" s="6"/>
      <c r="C268" s="6"/>
      <c r="D268" s="6"/>
      <c r="E268" s="6"/>
      <c r="F268" s="6"/>
      <c r="O268" s="6"/>
      <c r="P268" s="25"/>
      <c r="R268" s="6"/>
      <c r="AB268" s="15"/>
      <c r="AC268" s="24"/>
      <c r="AD268" s="15"/>
      <c r="AO268" s="11"/>
      <c r="AP268" s="11"/>
      <c r="AR268" s="9"/>
      <c r="AS268" s="15"/>
      <c r="AT268" s="9"/>
      <c r="AU268" s="23"/>
      <c r="AV268" s="15"/>
      <c r="AW268" s="15"/>
      <c r="AX268" s="18"/>
      <c r="BA268" s="12"/>
      <c r="BC268" s="6"/>
      <c r="BD268" s="6"/>
    </row>
    <row r="269" spans="2:56" s="5" customFormat="1" ht="15" customHeight="1">
      <c r="B269" s="6"/>
      <c r="C269" s="6"/>
      <c r="D269" s="6"/>
      <c r="E269" s="6"/>
      <c r="F269" s="6"/>
      <c r="O269" s="6"/>
      <c r="P269" s="25"/>
      <c r="R269" s="6"/>
      <c r="AB269" s="15"/>
      <c r="AC269" s="24"/>
      <c r="AD269" s="15"/>
      <c r="AO269" s="11"/>
      <c r="AP269" s="11"/>
      <c r="AR269" s="9"/>
      <c r="AS269" s="15"/>
      <c r="AT269" s="9"/>
      <c r="AU269" s="23"/>
      <c r="AV269" s="15"/>
      <c r="AW269" s="15"/>
      <c r="AX269" s="18"/>
      <c r="BA269" s="12"/>
      <c r="BC269" s="6"/>
      <c r="BD269" s="6"/>
    </row>
    <row r="270" spans="2:56" s="5" customFormat="1" ht="15" customHeight="1">
      <c r="B270" s="6"/>
      <c r="C270" s="6"/>
      <c r="D270" s="6"/>
      <c r="E270" s="6"/>
      <c r="F270" s="6"/>
      <c r="O270" s="6"/>
      <c r="P270" s="25"/>
      <c r="R270" s="6"/>
      <c r="AB270" s="15"/>
      <c r="AC270" s="24"/>
      <c r="AD270" s="15"/>
      <c r="AO270" s="11"/>
      <c r="AP270" s="11"/>
      <c r="AR270" s="9"/>
      <c r="AS270" s="15"/>
      <c r="AT270" s="9"/>
      <c r="AU270" s="23"/>
      <c r="AV270" s="15"/>
      <c r="AW270" s="15"/>
      <c r="AX270" s="18"/>
      <c r="BA270" s="12"/>
      <c r="BC270" s="6"/>
      <c r="BD270" s="6"/>
    </row>
    <row r="271" spans="2:56" s="5" customFormat="1" ht="15" customHeight="1">
      <c r="B271" s="6"/>
      <c r="C271" s="6"/>
      <c r="D271" s="6"/>
      <c r="E271" s="6"/>
      <c r="F271" s="6"/>
      <c r="O271" s="6"/>
      <c r="P271" s="25"/>
      <c r="R271" s="6"/>
      <c r="AB271" s="15"/>
      <c r="AC271" s="24"/>
      <c r="AD271" s="15"/>
      <c r="AO271" s="11"/>
      <c r="AP271" s="11"/>
      <c r="AR271" s="9"/>
      <c r="AS271" s="15"/>
      <c r="AT271" s="9"/>
      <c r="AU271" s="23"/>
      <c r="AV271" s="15"/>
      <c r="AW271" s="15"/>
      <c r="AX271" s="18"/>
      <c r="BA271" s="12"/>
      <c r="BC271" s="6"/>
      <c r="BD271" s="6"/>
    </row>
    <row r="272" spans="2:56" s="5" customFormat="1" ht="15" customHeight="1">
      <c r="B272" s="6"/>
      <c r="C272" s="6"/>
      <c r="D272" s="6"/>
      <c r="E272" s="6"/>
      <c r="F272" s="6"/>
      <c r="O272" s="6"/>
      <c r="P272" s="25"/>
      <c r="R272" s="6"/>
      <c r="AB272" s="15"/>
      <c r="AC272" s="24"/>
      <c r="AD272" s="15"/>
      <c r="AO272" s="11"/>
      <c r="AP272" s="11"/>
      <c r="AR272" s="9"/>
      <c r="AS272" s="15"/>
      <c r="AT272" s="9"/>
      <c r="AU272" s="23"/>
      <c r="AV272" s="15"/>
      <c r="AW272" s="15"/>
      <c r="AX272" s="18"/>
      <c r="BA272" s="12"/>
      <c r="BC272" s="6"/>
      <c r="BD272" s="6"/>
    </row>
    <row r="273" spans="2:56" s="5" customFormat="1" ht="15" customHeight="1">
      <c r="B273" s="6"/>
      <c r="C273" s="6"/>
      <c r="D273" s="6"/>
      <c r="E273" s="6"/>
      <c r="F273" s="6"/>
      <c r="O273" s="6"/>
      <c r="P273" s="25"/>
      <c r="R273" s="6"/>
      <c r="AB273" s="15"/>
      <c r="AC273" s="24"/>
      <c r="AD273" s="15"/>
      <c r="AO273" s="11"/>
      <c r="AP273" s="11"/>
      <c r="AR273" s="9"/>
      <c r="AS273" s="15"/>
      <c r="AT273" s="9"/>
      <c r="AU273" s="23"/>
      <c r="AV273" s="15"/>
      <c r="AW273" s="15"/>
      <c r="AX273" s="18"/>
      <c r="BA273" s="12"/>
      <c r="BC273" s="6"/>
      <c r="BD273" s="6"/>
    </row>
    <row r="274" spans="2:56" s="5" customFormat="1" ht="15" customHeight="1">
      <c r="B274" s="6"/>
      <c r="C274" s="6"/>
      <c r="D274" s="6"/>
      <c r="E274" s="6"/>
      <c r="F274" s="6"/>
      <c r="O274" s="6"/>
      <c r="P274" s="25"/>
      <c r="R274" s="6"/>
      <c r="AB274" s="15"/>
      <c r="AC274" s="24"/>
      <c r="AD274" s="15"/>
      <c r="AO274" s="11"/>
      <c r="AP274" s="11"/>
      <c r="AR274" s="9"/>
      <c r="AS274" s="15"/>
      <c r="AT274" s="9"/>
      <c r="AU274" s="23"/>
      <c r="AV274" s="15"/>
      <c r="AW274" s="15"/>
      <c r="AX274" s="18"/>
      <c r="BA274" s="12"/>
      <c r="BC274" s="6"/>
      <c r="BD274" s="6"/>
    </row>
    <row r="275" spans="2:56" s="5" customFormat="1" ht="15" customHeight="1">
      <c r="B275" s="6"/>
      <c r="C275" s="6"/>
      <c r="D275" s="6"/>
      <c r="E275" s="6"/>
      <c r="F275" s="6"/>
      <c r="O275" s="6"/>
      <c r="P275" s="25"/>
      <c r="R275" s="6"/>
      <c r="AB275" s="15"/>
      <c r="AC275" s="24"/>
      <c r="AD275" s="15"/>
      <c r="AO275" s="11"/>
      <c r="AP275" s="11"/>
      <c r="AR275" s="9"/>
      <c r="AS275" s="15"/>
      <c r="AT275" s="9"/>
      <c r="AU275" s="23"/>
      <c r="AV275" s="15"/>
      <c r="AW275" s="15"/>
      <c r="AX275" s="18"/>
      <c r="BA275" s="12"/>
      <c r="BC275" s="6"/>
      <c r="BD275" s="6"/>
    </row>
    <row r="276" spans="2:56" s="5" customFormat="1" ht="15" customHeight="1">
      <c r="B276" s="6"/>
      <c r="C276" s="6"/>
      <c r="D276" s="6"/>
      <c r="E276" s="6"/>
      <c r="F276" s="6"/>
      <c r="O276" s="6"/>
      <c r="P276" s="25"/>
      <c r="R276" s="6"/>
      <c r="AB276" s="15"/>
      <c r="AC276" s="24"/>
      <c r="AD276" s="15"/>
      <c r="AO276" s="11"/>
      <c r="AP276" s="11"/>
      <c r="AR276" s="9"/>
      <c r="AS276" s="15"/>
      <c r="AT276" s="9"/>
      <c r="AU276" s="23"/>
      <c r="AV276" s="15"/>
      <c r="AW276" s="15"/>
      <c r="AX276" s="18"/>
      <c r="BA276" s="12"/>
      <c r="BC276" s="6"/>
      <c r="BD276" s="6"/>
    </row>
    <row r="277" spans="2:56" s="5" customFormat="1" ht="15" customHeight="1">
      <c r="B277" s="6"/>
      <c r="C277" s="6"/>
      <c r="D277" s="6"/>
      <c r="E277" s="6"/>
      <c r="F277" s="6"/>
      <c r="O277" s="6"/>
      <c r="P277" s="25"/>
      <c r="R277" s="6"/>
      <c r="AB277" s="15"/>
      <c r="AC277" s="24"/>
      <c r="AD277" s="15"/>
      <c r="AO277" s="11"/>
      <c r="AP277" s="11"/>
      <c r="AR277" s="9"/>
      <c r="AS277" s="15"/>
      <c r="AT277" s="9"/>
      <c r="AU277" s="23"/>
      <c r="AV277" s="15"/>
      <c r="AW277" s="15"/>
      <c r="AX277" s="18"/>
      <c r="BA277" s="12"/>
      <c r="BC277" s="6"/>
      <c r="BD277" s="6"/>
    </row>
    <row r="278" spans="2:56" s="5" customFormat="1" ht="15" customHeight="1">
      <c r="B278" s="6"/>
      <c r="C278" s="6"/>
      <c r="D278" s="6"/>
      <c r="E278" s="6"/>
      <c r="F278" s="6"/>
      <c r="O278" s="6"/>
      <c r="P278" s="25"/>
      <c r="R278" s="6"/>
      <c r="AB278" s="15"/>
      <c r="AC278" s="24"/>
      <c r="AD278" s="15"/>
      <c r="AO278" s="11"/>
      <c r="AP278" s="11"/>
      <c r="AR278" s="9"/>
      <c r="AS278" s="15"/>
      <c r="AT278" s="9"/>
      <c r="AU278" s="23"/>
      <c r="AV278" s="15"/>
      <c r="AW278" s="15"/>
      <c r="AX278" s="18"/>
      <c r="BA278" s="12"/>
      <c r="BC278" s="6"/>
      <c r="BD278" s="6"/>
    </row>
    <row r="279" spans="2:56" s="5" customFormat="1" ht="15" customHeight="1">
      <c r="B279" s="6"/>
      <c r="C279" s="6"/>
      <c r="D279" s="6"/>
      <c r="E279" s="6"/>
      <c r="F279" s="6"/>
      <c r="O279" s="6"/>
      <c r="P279" s="25"/>
      <c r="R279" s="6"/>
      <c r="AB279" s="15"/>
      <c r="AC279" s="24"/>
      <c r="AD279" s="15"/>
      <c r="AO279" s="11"/>
      <c r="AP279" s="11"/>
      <c r="AR279" s="9"/>
      <c r="AS279" s="15"/>
      <c r="AT279" s="9"/>
      <c r="AU279" s="23"/>
      <c r="AV279" s="15"/>
      <c r="AW279" s="15"/>
      <c r="AX279" s="18"/>
      <c r="BA279" s="12"/>
      <c r="BC279" s="6"/>
      <c r="BD279" s="6"/>
    </row>
    <row r="280" spans="2:56" s="5" customFormat="1" ht="15" customHeight="1">
      <c r="B280" s="6"/>
      <c r="C280" s="6"/>
      <c r="D280" s="6"/>
      <c r="E280" s="6"/>
      <c r="F280" s="6"/>
      <c r="O280" s="6"/>
      <c r="P280" s="25"/>
      <c r="R280" s="6"/>
      <c r="AB280" s="15"/>
      <c r="AC280" s="24"/>
      <c r="AD280" s="15"/>
      <c r="AO280" s="11"/>
      <c r="AP280" s="11"/>
      <c r="AR280" s="9"/>
      <c r="AS280" s="15"/>
      <c r="AT280" s="9"/>
      <c r="AU280" s="23"/>
      <c r="AV280" s="15"/>
      <c r="AW280" s="15"/>
      <c r="AX280" s="18"/>
      <c r="BA280" s="12"/>
      <c r="BC280" s="6"/>
      <c r="BD280" s="6"/>
    </row>
    <row r="281" spans="2:56" s="5" customFormat="1" ht="15" customHeight="1">
      <c r="B281" s="6"/>
      <c r="C281" s="6"/>
      <c r="D281" s="6"/>
      <c r="E281" s="6"/>
      <c r="F281" s="6"/>
      <c r="O281" s="6"/>
      <c r="P281" s="25"/>
      <c r="R281" s="6"/>
      <c r="AB281" s="15"/>
      <c r="AC281" s="24"/>
      <c r="AD281" s="15"/>
      <c r="AO281" s="11"/>
      <c r="AP281" s="11"/>
      <c r="AR281" s="9"/>
      <c r="AS281" s="15"/>
      <c r="AT281" s="9"/>
      <c r="AU281" s="23"/>
      <c r="AV281" s="15"/>
      <c r="AW281" s="15"/>
      <c r="AX281" s="18"/>
      <c r="BA281" s="12"/>
      <c r="BC281" s="6"/>
      <c r="BD281" s="6"/>
    </row>
    <row r="282" spans="2:56" s="5" customFormat="1" ht="15" customHeight="1">
      <c r="B282" s="6"/>
      <c r="C282" s="6"/>
      <c r="D282" s="6"/>
      <c r="E282" s="6"/>
      <c r="F282" s="6"/>
      <c r="O282" s="6"/>
      <c r="P282" s="25"/>
      <c r="R282" s="6"/>
      <c r="AB282" s="15"/>
      <c r="AC282" s="24"/>
      <c r="AD282" s="15"/>
      <c r="AO282" s="11"/>
      <c r="AP282" s="11"/>
      <c r="AR282" s="9"/>
      <c r="AS282" s="15"/>
      <c r="AT282" s="9"/>
      <c r="AU282" s="23"/>
      <c r="AV282" s="15"/>
      <c r="AW282" s="15"/>
      <c r="AX282" s="18"/>
      <c r="BA282" s="12"/>
      <c r="BC282" s="6"/>
      <c r="BD282" s="6"/>
    </row>
    <row r="283" spans="2:56" s="5" customFormat="1" ht="15" customHeight="1">
      <c r="B283" s="6"/>
      <c r="C283" s="6"/>
      <c r="D283" s="6"/>
      <c r="E283" s="6"/>
      <c r="F283" s="6"/>
      <c r="O283" s="6"/>
      <c r="P283" s="25"/>
      <c r="R283" s="6"/>
      <c r="AB283" s="15"/>
      <c r="AC283" s="24"/>
      <c r="AD283" s="15"/>
      <c r="AO283" s="11"/>
      <c r="AP283" s="11"/>
      <c r="AR283" s="9"/>
      <c r="AS283" s="15"/>
      <c r="AT283" s="9"/>
      <c r="AU283" s="23"/>
      <c r="AV283" s="15"/>
      <c r="AW283" s="15"/>
      <c r="AX283" s="18"/>
      <c r="BA283" s="12"/>
      <c r="BC283" s="6"/>
      <c r="BD283" s="6"/>
    </row>
    <row r="284" spans="2:56" s="5" customFormat="1" ht="15" customHeight="1">
      <c r="B284" s="6"/>
      <c r="C284" s="6"/>
      <c r="D284" s="6"/>
      <c r="E284" s="6"/>
      <c r="F284" s="6"/>
      <c r="O284" s="6"/>
      <c r="P284" s="25"/>
      <c r="R284" s="6"/>
      <c r="AB284" s="15"/>
      <c r="AC284" s="24"/>
      <c r="AD284" s="15"/>
      <c r="AO284" s="11"/>
      <c r="AP284" s="11"/>
      <c r="AR284" s="9"/>
      <c r="AS284" s="15"/>
      <c r="AT284" s="9"/>
      <c r="AU284" s="23"/>
      <c r="AV284" s="15"/>
      <c r="AW284" s="15"/>
      <c r="AX284" s="18"/>
      <c r="BA284" s="12"/>
      <c r="BC284" s="6"/>
      <c r="BD284" s="6"/>
    </row>
    <row r="285" spans="2:56" s="5" customFormat="1" ht="15" customHeight="1">
      <c r="B285" s="6"/>
      <c r="C285" s="6"/>
      <c r="D285" s="6"/>
      <c r="E285" s="6"/>
      <c r="F285" s="6"/>
      <c r="O285" s="6"/>
      <c r="P285" s="25"/>
      <c r="R285" s="6"/>
      <c r="AB285" s="15"/>
      <c r="AC285" s="24"/>
      <c r="AD285" s="15"/>
      <c r="AO285" s="11"/>
      <c r="AP285" s="11"/>
      <c r="AR285" s="9"/>
      <c r="AS285" s="15"/>
      <c r="AT285" s="9"/>
      <c r="AU285" s="23"/>
      <c r="AV285" s="15"/>
      <c r="AW285" s="15"/>
      <c r="AX285" s="18"/>
      <c r="BA285" s="12"/>
      <c r="BC285" s="6"/>
      <c r="BD285" s="6"/>
    </row>
    <row r="286" spans="2:56" s="5" customFormat="1" ht="15" customHeight="1">
      <c r="B286" s="6"/>
      <c r="C286" s="6"/>
      <c r="D286" s="6"/>
      <c r="E286" s="6"/>
      <c r="F286" s="6"/>
      <c r="O286" s="6"/>
      <c r="P286" s="25"/>
      <c r="R286" s="6"/>
      <c r="AB286" s="15"/>
      <c r="AC286" s="24"/>
      <c r="AD286" s="15"/>
      <c r="AO286" s="11"/>
      <c r="AP286" s="11"/>
      <c r="AR286" s="9"/>
      <c r="AS286" s="15"/>
      <c r="AT286" s="9"/>
      <c r="AU286" s="23"/>
      <c r="AV286" s="15"/>
      <c r="AW286" s="15"/>
      <c r="AX286" s="18"/>
      <c r="BA286" s="12"/>
      <c r="BC286" s="6"/>
      <c r="BD286" s="6"/>
    </row>
    <row r="287" spans="2:56" s="5" customFormat="1" ht="15" customHeight="1">
      <c r="B287" s="6"/>
      <c r="C287" s="6"/>
      <c r="D287" s="6"/>
      <c r="E287" s="6"/>
      <c r="F287" s="6"/>
      <c r="O287" s="6"/>
      <c r="P287" s="25"/>
      <c r="R287" s="6"/>
      <c r="AB287" s="15"/>
      <c r="AC287" s="24"/>
      <c r="AD287" s="15"/>
      <c r="AO287" s="11"/>
      <c r="AP287" s="11"/>
      <c r="AR287" s="9"/>
      <c r="AS287" s="15"/>
      <c r="AT287" s="9"/>
      <c r="AU287" s="23"/>
      <c r="AV287" s="15"/>
      <c r="AW287" s="15"/>
      <c r="AX287" s="18"/>
      <c r="BA287" s="12"/>
      <c r="BC287" s="6"/>
      <c r="BD287" s="6"/>
    </row>
    <row r="288" spans="2:56" s="5" customFormat="1" ht="15" customHeight="1">
      <c r="B288" s="6"/>
      <c r="C288" s="6"/>
      <c r="D288" s="6"/>
      <c r="E288" s="6"/>
      <c r="F288" s="6"/>
      <c r="O288" s="6"/>
      <c r="P288" s="25"/>
      <c r="R288" s="6"/>
      <c r="AB288" s="15"/>
      <c r="AC288" s="24"/>
      <c r="AD288" s="15"/>
      <c r="AO288" s="11"/>
      <c r="AP288" s="11"/>
      <c r="AR288" s="9"/>
      <c r="AS288" s="15"/>
      <c r="AT288" s="9"/>
      <c r="AU288" s="23"/>
      <c r="AV288" s="15"/>
      <c r="AW288" s="15"/>
      <c r="AX288" s="18"/>
      <c r="BA288" s="12"/>
      <c r="BC288" s="6"/>
      <c r="BD288" s="6"/>
    </row>
    <row r="289" spans="2:56" s="5" customFormat="1" ht="15" customHeight="1">
      <c r="B289" s="6"/>
      <c r="C289" s="6"/>
      <c r="D289" s="6"/>
      <c r="E289" s="6"/>
      <c r="F289" s="6"/>
      <c r="O289" s="6"/>
      <c r="P289" s="25"/>
      <c r="R289" s="6"/>
      <c r="AB289" s="15"/>
      <c r="AC289" s="24"/>
      <c r="AD289" s="15"/>
      <c r="AO289" s="11"/>
      <c r="AP289" s="11"/>
      <c r="AR289" s="9"/>
      <c r="AS289" s="15"/>
      <c r="AT289" s="9"/>
      <c r="AU289" s="23"/>
      <c r="AV289" s="15"/>
      <c r="AW289" s="15"/>
      <c r="AX289" s="18"/>
      <c r="BA289" s="12"/>
      <c r="BC289" s="6"/>
      <c r="BD289" s="6"/>
    </row>
    <row r="290" spans="2:56" s="5" customFormat="1" ht="15" customHeight="1">
      <c r="B290" s="6"/>
      <c r="C290" s="6"/>
      <c r="D290" s="6"/>
      <c r="E290" s="6"/>
      <c r="F290" s="6"/>
      <c r="O290" s="6"/>
      <c r="P290" s="25"/>
      <c r="R290" s="6"/>
      <c r="AB290" s="15"/>
      <c r="AC290" s="24"/>
      <c r="AD290" s="15"/>
      <c r="AO290" s="11"/>
      <c r="AP290" s="11"/>
      <c r="AR290" s="9"/>
      <c r="AS290" s="15"/>
      <c r="AT290" s="9"/>
      <c r="AU290" s="23"/>
      <c r="AV290" s="15"/>
      <c r="AW290" s="15"/>
      <c r="AX290" s="18"/>
      <c r="BA290" s="12"/>
      <c r="BC290" s="6"/>
      <c r="BD290" s="6"/>
    </row>
    <row r="291" spans="2:56" s="5" customFormat="1" ht="15" customHeight="1">
      <c r="B291" s="6"/>
      <c r="C291" s="6"/>
      <c r="D291" s="6"/>
      <c r="E291" s="6"/>
      <c r="F291" s="6"/>
      <c r="O291" s="6"/>
      <c r="P291" s="25"/>
      <c r="R291" s="6"/>
      <c r="AB291" s="15"/>
      <c r="AC291" s="24"/>
      <c r="AD291" s="15"/>
      <c r="AO291" s="11"/>
      <c r="AP291" s="11"/>
      <c r="AR291" s="9"/>
      <c r="AS291" s="15"/>
      <c r="AT291" s="9"/>
      <c r="AU291" s="23"/>
      <c r="AV291" s="15"/>
      <c r="AW291" s="15"/>
      <c r="AX291" s="18"/>
      <c r="BA291" s="12"/>
      <c r="BC291" s="6"/>
      <c r="BD291" s="6"/>
    </row>
    <row r="292" spans="2:56" s="5" customFormat="1" ht="15" customHeight="1">
      <c r="B292" s="6"/>
      <c r="C292" s="6"/>
      <c r="D292" s="6"/>
      <c r="E292" s="6"/>
      <c r="F292" s="6"/>
      <c r="O292" s="6"/>
      <c r="P292" s="25"/>
      <c r="R292" s="6"/>
      <c r="AB292" s="15"/>
      <c r="AC292" s="24"/>
      <c r="AD292" s="15"/>
      <c r="AO292" s="11"/>
      <c r="AP292" s="11"/>
      <c r="AR292" s="9"/>
      <c r="AS292" s="15"/>
      <c r="AT292" s="9"/>
      <c r="AU292" s="23"/>
      <c r="AV292" s="15"/>
      <c r="AW292" s="15"/>
      <c r="AX292" s="18"/>
      <c r="BA292" s="12"/>
      <c r="BC292" s="6"/>
      <c r="BD292" s="6"/>
    </row>
    <row r="293" spans="2:56" s="5" customFormat="1" ht="15" customHeight="1">
      <c r="B293" s="6"/>
      <c r="C293" s="6"/>
      <c r="D293" s="6"/>
      <c r="E293" s="6"/>
      <c r="F293" s="6"/>
      <c r="O293" s="6"/>
      <c r="P293" s="25"/>
      <c r="R293" s="6"/>
      <c r="AB293" s="15"/>
      <c r="AC293" s="24"/>
      <c r="AD293" s="15"/>
      <c r="AO293" s="11"/>
      <c r="AP293" s="11"/>
      <c r="AR293" s="9"/>
      <c r="AS293" s="15"/>
      <c r="AT293" s="9"/>
      <c r="AU293" s="23"/>
      <c r="AV293" s="15"/>
      <c r="AW293" s="15"/>
      <c r="AX293" s="18"/>
      <c r="BA293" s="12"/>
      <c r="BC293" s="6"/>
      <c r="BD293" s="6"/>
    </row>
    <row r="294" spans="2:56" s="5" customFormat="1" ht="15" customHeight="1">
      <c r="B294" s="6"/>
      <c r="C294" s="6"/>
      <c r="D294" s="6"/>
      <c r="E294" s="6"/>
      <c r="F294" s="6"/>
      <c r="O294" s="6"/>
      <c r="P294" s="25"/>
      <c r="R294" s="6"/>
      <c r="AB294" s="15"/>
      <c r="AC294" s="24"/>
      <c r="AD294" s="15"/>
      <c r="AO294" s="11"/>
      <c r="AP294" s="11"/>
      <c r="AR294" s="9"/>
      <c r="AS294" s="15"/>
      <c r="AT294" s="9"/>
      <c r="AU294" s="23"/>
      <c r="AV294" s="15"/>
      <c r="AW294" s="15"/>
      <c r="AX294" s="18"/>
      <c r="BA294" s="12"/>
      <c r="BC294" s="6"/>
      <c r="BD294" s="6"/>
    </row>
    <row r="295" spans="2:56" s="5" customFormat="1" ht="15" customHeight="1">
      <c r="B295" s="6"/>
      <c r="C295" s="6"/>
      <c r="D295" s="6"/>
      <c r="E295" s="6"/>
      <c r="F295" s="6"/>
      <c r="O295" s="6"/>
      <c r="P295" s="25"/>
      <c r="R295" s="6"/>
      <c r="AB295" s="15"/>
      <c r="AC295" s="24"/>
      <c r="AD295" s="15"/>
      <c r="AO295" s="11"/>
      <c r="AP295" s="11"/>
      <c r="AR295" s="9"/>
      <c r="AS295" s="15"/>
      <c r="AT295" s="9"/>
      <c r="AU295" s="23"/>
      <c r="AV295" s="15"/>
      <c r="AW295" s="15"/>
      <c r="AX295" s="18"/>
      <c r="BA295" s="12"/>
      <c r="BC295" s="6"/>
      <c r="BD295" s="6"/>
    </row>
    <row r="296" spans="2:56" s="5" customFormat="1" ht="15" customHeight="1">
      <c r="B296" s="6"/>
      <c r="C296" s="6"/>
      <c r="D296" s="6"/>
      <c r="E296" s="6"/>
      <c r="F296" s="6"/>
      <c r="O296" s="6"/>
      <c r="P296" s="25"/>
      <c r="R296" s="6"/>
      <c r="AB296" s="15"/>
      <c r="AC296" s="24"/>
      <c r="AD296" s="15"/>
      <c r="AO296" s="11"/>
      <c r="AP296" s="11"/>
      <c r="AR296" s="9"/>
      <c r="AS296" s="15"/>
      <c r="AT296" s="9"/>
      <c r="AU296" s="23"/>
      <c r="AV296" s="15"/>
      <c r="AW296" s="15"/>
      <c r="AX296" s="18"/>
      <c r="BA296" s="12"/>
      <c r="BC296" s="6"/>
      <c r="BD296" s="6"/>
    </row>
    <row r="297" spans="2:56" s="5" customFormat="1" ht="15" customHeight="1">
      <c r="B297" s="6"/>
      <c r="C297" s="6"/>
      <c r="D297" s="6"/>
      <c r="E297" s="6"/>
      <c r="F297" s="6"/>
      <c r="O297" s="6"/>
      <c r="P297" s="25"/>
      <c r="R297" s="6"/>
      <c r="AB297" s="15"/>
      <c r="AC297" s="24"/>
      <c r="AD297" s="15"/>
      <c r="AO297" s="11"/>
      <c r="AP297" s="11"/>
      <c r="AR297" s="9"/>
      <c r="AS297" s="15"/>
      <c r="AT297" s="9"/>
      <c r="AU297" s="23"/>
      <c r="AV297" s="15"/>
      <c r="AW297" s="15"/>
      <c r="AX297" s="18"/>
      <c r="BA297" s="12"/>
      <c r="BC297" s="6"/>
      <c r="BD297" s="6"/>
    </row>
    <row r="298" spans="2:56" s="5" customFormat="1" ht="15" customHeight="1">
      <c r="B298" s="6"/>
      <c r="C298" s="6"/>
      <c r="D298" s="6"/>
      <c r="E298" s="6"/>
      <c r="F298" s="6"/>
      <c r="O298" s="6"/>
      <c r="P298" s="25"/>
      <c r="R298" s="6"/>
      <c r="AB298" s="15"/>
      <c r="AC298" s="24"/>
      <c r="AD298" s="15"/>
      <c r="AO298" s="11"/>
      <c r="AP298" s="11"/>
      <c r="AR298" s="9"/>
      <c r="AS298" s="15"/>
      <c r="AT298" s="9"/>
      <c r="AU298" s="23"/>
      <c r="AV298" s="15"/>
      <c r="AW298" s="15"/>
      <c r="AX298" s="18"/>
      <c r="BA298" s="12"/>
      <c r="BC298" s="6"/>
      <c r="BD298" s="6"/>
    </row>
    <row r="299" spans="2:56" s="5" customFormat="1" ht="15" customHeight="1">
      <c r="B299" s="6"/>
      <c r="C299" s="6"/>
      <c r="D299" s="6"/>
      <c r="E299" s="6"/>
      <c r="F299" s="6"/>
      <c r="O299" s="6"/>
      <c r="P299" s="25"/>
      <c r="R299" s="6"/>
      <c r="AB299" s="15"/>
      <c r="AC299" s="24"/>
      <c r="AD299" s="15"/>
      <c r="AO299" s="11"/>
      <c r="AP299" s="11"/>
      <c r="AR299" s="9"/>
      <c r="AS299" s="15"/>
      <c r="AT299" s="9"/>
      <c r="AU299" s="23"/>
      <c r="AV299" s="15"/>
      <c r="AW299" s="15"/>
      <c r="AX299" s="18"/>
      <c r="BA299" s="12"/>
      <c r="BC299" s="6"/>
      <c r="BD299" s="6"/>
    </row>
    <row r="300" spans="2:56" s="5" customFormat="1" ht="15" customHeight="1">
      <c r="B300" s="6"/>
      <c r="C300" s="6"/>
      <c r="D300" s="6"/>
      <c r="E300" s="6"/>
      <c r="F300" s="6"/>
      <c r="O300" s="6"/>
      <c r="P300" s="25"/>
      <c r="R300" s="6"/>
      <c r="AB300" s="15"/>
      <c r="AC300" s="24"/>
      <c r="AD300" s="15"/>
      <c r="AO300" s="11"/>
      <c r="AP300" s="11"/>
      <c r="AR300" s="9"/>
      <c r="AS300" s="15"/>
      <c r="AT300" s="9"/>
      <c r="AU300" s="23"/>
      <c r="AV300" s="15"/>
      <c r="AW300" s="15"/>
      <c r="AX300" s="18"/>
      <c r="BA300" s="12"/>
      <c r="BC300" s="6"/>
      <c r="BD300" s="6"/>
    </row>
    <row r="301" spans="2:56" s="5" customFormat="1" ht="15" customHeight="1">
      <c r="B301" s="6"/>
      <c r="C301" s="6"/>
      <c r="D301" s="6"/>
      <c r="E301" s="6"/>
      <c r="F301" s="6"/>
      <c r="O301" s="6"/>
      <c r="P301" s="25"/>
      <c r="R301" s="6"/>
      <c r="AB301" s="15"/>
      <c r="AC301" s="24"/>
      <c r="AD301" s="15"/>
      <c r="AO301" s="11"/>
      <c r="AP301" s="11"/>
      <c r="AR301" s="9"/>
      <c r="AS301" s="15"/>
      <c r="AT301" s="9"/>
      <c r="AU301" s="23"/>
      <c r="AV301" s="15"/>
      <c r="AW301" s="15"/>
      <c r="AX301" s="18"/>
      <c r="BA301" s="12"/>
      <c r="BC301" s="6"/>
      <c r="BD301" s="6"/>
    </row>
    <row r="302" spans="2:56" s="5" customFormat="1" ht="15" customHeight="1">
      <c r="B302" s="6"/>
      <c r="C302" s="6"/>
      <c r="D302" s="6"/>
      <c r="E302" s="6"/>
      <c r="F302" s="6"/>
      <c r="O302" s="6"/>
      <c r="P302" s="25"/>
      <c r="R302" s="6"/>
      <c r="AB302" s="15"/>
      <c r="AC302" s="24"/>
      <c r="AD302" s="15"/>
      <c r="AO302" s="11"/>
      <c r="AP302" s="11"/>
      <c r="AR302" s="9"/>
      <c r="AS302" s="15"/>
      <c r="AT302" s="9"/>
      <c r="AU302" s="23"/>
      <c r="AV302" s="15"/>
      <c r="AW302" s="15"/>
      <c r="AX302" s="18"/>
      <c r="BA302" s="12"/>
      <c r="BC302" s="6"/>
      <c r="BD302" s="6"/>
    </row>
    <row r="303" spans="2:56" s="5" customFormat="1" ht="15" customHeight="1">
      <c r="B303" s="6"/>
      <c r="C303" s="6"/>
      <c r="D303" s="6"/>
      <c r="E303" s="6"/>
      <c r="F303" s="6"/>
      <c r="O303" s="6"/>
      <c r="P303" s="25"/>
      <c r="R303" s="6"/>
      <c r="AB303" s="15"/>
      <c r="AC303" s="24"/>
      <c r="AD303" s="15"/>
      <c r="AO303" s="11"/>
      <c r="AP303" s="11"/>
      <c r="AR303" s="9"/>
      <c r="AS303" s="15"/>
      <c r="AT303" s="9"/>
      <c r="AU303" s="23"/>
      <c r="AV303" s="15"/>
      <c r="AW303" s="15"/>
      <c r="AX303" s="18"/>
      <c r="BA303" s="12"/>
      <c r="BC303" s="6"/>
      <c r="BD303" s="6"/>
    </row>
    <row r="304" spans="2:56" s="5" customFormat="1" ht="15" customHeight="1">
      <c r="B304" s="6"/>
      <c r="C304" s="6"/>
      <c r="D304" s="6"/>
      <c r="E304" s="6"/>
      <c r="F304" s="6"/>
      <c r="O304" s="6"/>
      <c r="P304" s="25"/>
      <c r="R304" s="6"/>
      <c r="AB304" s="15"/>
      <c r="AC304" s="24"/>
      <c r="AD304" s="15"/>
      <c r="AO304" s="11"/>
      <c r="AP304" s="11"/>
      <c r="AR304" s="9"/>
      <c r="AS304" s="15"/>
      <c r="AT304" s="9"/>
      <c r="AU304" s="23"/>
      <c r="AV304" s="15"/>
      <c r="AW304" s="15"/>
      <c r="AX304" s="18"/>
      <c r="BA304" s="12"/>
      <c r="BC304" s="6"/>
      <c r="BD304" s="6"/>
    </row>
    <row r="305" spans="2:56" s="5" customFormat="1" ht="15" customHeight="1">
      <c r="B305" s="6"/>
      <c r="C305" s="6"/>
      <c r="D305" s="6"/>
      <c r="E305" s="6"/>
      <c r="F305" s="6"/>
      <c r="O305" s="6"/>
      <c r="P305" s="25"/>
      <c r="R305" s="6"/>
      <c r="AB305" s="15"/>
      <c r="AC305" s="24"/>
      <c r="AD305" s="15"/>
      <c r="AO305" s="11"/>
      <c r="AP305" s="11"/>
      <c r="AR305" s="9"/>
      <c r="AS305" s="15"/>
      <c r="AT305" s="9"/>
      <c r="AU305" s="23"/>
      <c r="AV305" s="15"/>
      <c r="AW305" s="15"/>
      <c r="AX305" s="18"/>
      <c r="BA305" s="12"/>
      <c r="BC305" s="6"/>
      <c r="BD305" s="6"/>
    </row>
    <row r="306" spans="2:56" s="5" customFormat="1" ht="15" customHeight="1">
      <c r="B306" s="6"/>
      <c r="C306" s="6"/>
      <c r="D306" s="6"/>
      <c r="E306" s="6"/>
      <c r="F306" s="6"/>
      <c r="O306" s="6"/>
      <c r="P306" s="25"/>
      <c r="R306" s="6"/>
      <c r="AB306" s="15"/>
      <c r="AC306" s="24"/>
      <c r="AD306" s="15"/>
      <c r="AO306" s="11"/>
      <c r="AP306" s="11"/>
      <c r="AR306" s="9"/>
      <c r="AS306" s="15"/>
      <c r="AT306" s="9"/>
      <c r="AU306" s="23"/>
      <c r="AV306" s="15"/>
      <c r="AW306" s="15"/>
      <c r="AX306" s="18"/>
      <c r="BA306" s="12"/>
      <c r="BC306" s="6"/>
      <c r="BD306" s="6"/>
    </row>
    <row r="307" spans="2:56" s="5" customFormat="1" ht="15" customHeight="1">
      <c r="B307" s="6"/>
      <c r="C307" s="6"/>
      <c r="D307" s="6"/>
      <c r="E307" s="6"/>
      <c r="F307" s="6"/>
      <c r="O307" s="6"/>
      <c r="P307" s="25"/>
      <c r="R307" s="6"/>
      <c r="AB307" s="15"/>
      <c r="AC307" s="24"/>
      <c r="AD307" s="15"/>
      <c r="AO307" s="11"/>
      <c r="AP307" s="11"/>
      <c r="AR307" s="9"/>
      <c r="AS307" s="15"/>
      <c r="AT307" s="9"/>
      <c r="AU307" s="23"/>
      <c r="AV307" s="15"/>
      <c r="AW307" s="15"/>
      <c r="AX307" s="18"/>
      <c r="BA307" s="12"/>
      <c r="BC307" s="6"/>
      <c r="BD307" s="6"/>
    </row>
    <row r="308" spans="2:56" s="5" customFormat="1" ht="15" customHeight="1">
      <c r="B308" s="6"/>
      <c r="C308" s="6"/>
      <c r="D308" s="6"/>
      <c r="E308" s="6"/>
      <c r="F308" s="6"/>
      <c r="O308" s="6"/>
      <c r="P308" s="25"/>
      <c r="R308" s="6"/>
      <c r="AB308" s="15"/>
      <c r="AC308" s="24"/>
      <c r="AD308" s="15"/>
      <c r="AO308" s="11"/>
      <c r="AP308" s="11"/>
      <c r="AR308" s="9"/>
      <c r="AS308" s="15"/>
      <c r="AT308" s="9"/>
      <c r="AU308" s="23"/>
      <c r="AV308" s="15"/>
      <c r="AW308" s="15"/>
      <c r="AX308" s="18"/>
      <c r="BA308" s="12"/>
      <c r="BC308" s="6"/>
      <c r="BD308" s="6"/>
    </row>
    <row r="309" spans="2:56" s="5" customFormat="1" ht="15" customHeight="1">
      <c r="B309" s="6"/>
      <c r="C309" s="6"/>
      <c r="D309" s="6"/>
      <c r="E309" s="6"/>
      <c r="F309" s="6"/>
      <c r="O309" s="6"/>
      <c r="P309" s="25"/>
      <c r="R309" s="6"/>
      <c r="AB309" s="15"/>
      <c r="AC309" s="24"/>
      <c r="AD309" s="15"/>
      <c r="AO309" s="11"/>
      <c r="AP309" s="11"/>
      <c r="AR309" s="9"/>
      <c r="AS309" s="15"/>
      <c r="AT309" s="9"/>
      <c r="AU309" s="23"/>
      <c r="AV309" s="15"/>
      <c r="AW309" s="15"/>
      <c r="AX309" s="18"/>
      <c r="BA309" s="12"/>
      <c r="BC309" s="6"/>
      <c r="BD309" s="6"/>
    </row>
    <row r="310" spans="2:56" s="5" customFormat="1" ht="15" customHeight="1">
      <c r="B310" s="6"/>
      <c r="C310" s="6"/>
      <c r="D310" s="6"/>
      <c r="E310" s="6"/>
      <c r="F310" s="6"/>
      <c r="O310" s="6"/>
      <c r="P310" s="25"/>
      <c r="R310" s="6"/>
      <c r="AB310" s="15"/>
      <c r="AC310" s="24"/>
      <c r="AD310" s="15"/>
      <c r="AO310" s="11"/>
      <c r="AP310" s="11"/>
      <c r="AR310" s="9"/>
      <c r="AS310" s="15"/>
      <c r="AT310" s="9"/>
      <c r="AU310" s="23"/>
      <c r="AV310" s="15"/>
      <c r="AW310" s="15"/>
      <c r="AX310" s="18"/>
      <c r="BA310" s="12"/>
      <c r="BC310" s="6"/>
      <c r="BD310" s="6"/>
    </row>
    <row r="311" spans="2:56" s="5" customFormat="1" ht="15" customHeight="1">
      <c r="B311" s="6"/>
      <c r="C311" s="6"/>
      <c r="D311" s="6"/>
      <c r="E311" s="6"/>
      <c r="F311" s="6"/>
      <c r="O311" s="6"/>
      <c r="P311" s="25"/>
      <c r="R311" s="6"/>
      <c r="AB311" s="15"/>
      <c r="AC311" s="24"/>
      <c r="AD311" s="15"/>
      <c r="AO311" s="11"/>
      <c r="AP311" s="11"/>
      <c r="AR311" s="9"/>
      <c r="AS311" s="15"/>
      <c r="AT311" s="9"/>
      <c r="AU311" s="23"/>
      <c r="AV311" s="15"/>
      <c r="AW311" s="15"/>
      <c r="AX311" s="18"/>
      <c r="BA311" s="12"/>
      <c r="BC311" s="6"/>
      <c r="BD311" s="6"/>
    </row>
    <row r="312" spans="2:56" s="5" customFormat="1" ht="15" customHeight="1">
      <c r="B312" s="6"/>
      <c r="C312" s="6"/>
      <c r="D312" s="6"/>
      <c r="E312" s="6"/>
      <c r="F312" s="6"/>
      <c r="O312" s="6"/>
      <c r="P312" s="25"/>
      <c r="R312" s="6"/>
      <c r="AB312" s="15"/>
      <c r="AC312" s="24"/>
      <c r="AD312" s="15"/>
      <c r="AO312" s="11"/>
      <c r="AP312" s="11"/>
      <c r="AR312" s="9"/>
      <c r="AS312" s="15"/>
      <c r="AT312" s="9"/>
      <c r="AU312" s="23"/>
      <c r="AV312" s="15"/>
      <c r="AW312" s="15"/>
      <c r="AX312" s="18"/>
      <c r="BA312" s="12"/>
      <c r="BC312" s="6"/>
      <c r="BD312" s="6"/>
    </row>
    <row r="313" spans="2:56" s="5" customFormat="1" ht="15" customHeight="1">
      <c r="B313" s="6"/>
      <c r="C313" s="6"/>
      <c r="D313" s="6"/>
      <c r="E313" s="6"/>
      <c r="F313" s="6"/>
      <c r="O313" s="6"/>
      <c r="P313" s="25"/>
      <c r="R313" s="6"/>
      <c r="AB313" s="15"/>
      <c r="AC313" s="24"/>
      <c r="AD313" s="15"/>
      <c r="AO313" s="11"/>
      <c r="AP313" s="11"/>
      <c r="AR313" s="9"/>
      <c r="AS313" s="15"/>
      <c r="AT313" s="9"/>
      <c r="AU313" s="23"/>
      <c r="AV313" s="15"/>
      <c r="AW313" s="15"/>
      <c r="AX313" s="18"/>
      <c r="BA313" s="12"/>
      <c r="BC313" s="6"/>
      <c r="BD313" s="6"/>
    </row>
    <row r="314" spans="2:56" s="5" customFormat="1" ht="15" customHeight="1">
      <c r="B314" s="6"/>
      <c r="C314" s="6"/>
      <c r="D314" s="6"/>
      <c r="E314" s="6"/>
      <c r="F314" s="6"/>
      <c r="O314" s="6"/>
      <c r="P314" s="25"/>
      <c r="R314" s="6"/>
      <c r="AB314" s="15"/>
      <c r="AC314" s="24"/>
      <c r="AD314" s="15"/>
      <c r="AO314" s="11"/>
      <c r="AP314" s="11"/>
      <c r="AR314" s="9"/>
      <c r="AS314" s="15"/>
      <c r="AT314" s="9"/>
      <c r="AU314" s="23"/>
      <c r="AV314" s="15"/>
      <c r="AW314" s="15"/>
      <c r="AX314" s="18"/>
      <c r="BA314" s="12"/>
      <c r="BC314" s="6"/>
      <c r="BD314" s="6"/>
    </row>
    <row r="315" spans="2:56" s="5" customFormat="1" ht="15" customHeight="1">
      <c r="B315" s="6"/>
      <c r="C315" s="6"/>
      <c r="D315" s="6"/>
      <c r="E315" s="6"/>
      <c r="F315" s="6"/>
      <c r="O315" s="6"/>
      <c r="P315" s="25"/>
      <c r="R315" s="6"/>
      <c r="AB315" s="15"/>
      <c r="AC315" s="24"/>
      <c r="AD315" s="15"/>
      <c r="AO315" s="11"/>
      <c r="AP315" s="11"/>
      <c r="AR315" s="9"/>
      <c r="AS315" s="15"/>
      <c r="AT315" s="9"/>
      <c r="AU315" s="23"/>
      <c r="AV315" s="15"/>
      <c r="AW315" s="15"/>
      <c r="AX315" s="18"/>
      <c r="BA315" s="12"/>
      <c r="BC315" s="6"/>
      <c r="BD315" s="6"/>
    </row>
    <row r="316" spans="2:56" s="5" customFormat="1" ht="15" customHeight="1">
      <c r="B316" s="6"/>
      <c r="C316" s="6"/>
      <c r="D316" s="6"/>
      <c r="E316" s="6"/>
      <c r="F316" s="6"/>
      <c r="O316" s="6"/>
      <c r="P316" s="25"/>
      <c r="R316" s="6"/>
      <c r="AB316" s="15"/>
      <c r="AC316" s="24"/>
      <c r="AD316" s="15"/>
      <c r="AO316" s="11"/>
      <c r="AP316" s="11"/>
      <c r="AR316" s="9"/>
      <c r="AS316" s="15"/>
      <c r="AT316" s="9"/>
      <c r="AU316" s="23"/>
      <c r="AV316" s="15"/>
      <c r="AW316" s="15"/>
      <c r="AX316" s="18"/>
      <c r="BA316" s="12"/>
      <c r="BC316" s="6"/>
      <c r="BD316" s="6"/>
    </row>
    <row r="317" spans="2:56" s="5" customFormat="1" ht="15" customHeight="1">
      <c r="B317" s="6"/>
      <c r="C317" s="6"/>
      <c r="D317" s="6"/>
      <c r="E317" s="6"/>
      <c r="F317" s="6"/>
      <c r="O317" s="6"/>
      <c r="P317" s="25"/>
      <c r="R317" s="6"/>
      <c r="AB317" s="15"/>
      <c r="AC317" s="24"/>
      <c r="AD317" s="15"/>
      <c r="AO317" s="11"/>
      <c r="AP317" s="11"/>
      <c r="AR317" s="9"/>
      <c r="AS317" s="15"/>
      <c r="AT317" s="9"/>
      <c r="AU317" s="23"/>
      <c r="AV317" s="15"/>
      <c r="AW317" s="15"/>
      <c r="AX317" s="18"/>
      <c r="BA317" s="12"/>
      <c r="BC317" s="6"/>
      <c r="BD317" s="6"/>
    </row>
    <row r="318" spans="2:56" s="5" customFormat="1" ht="15" customHeight="1">
      <c r="B318" s="6"/>
      <c r="C318" s="6"/>
      <c r="D318" s="6"/>
      <c r="E318" s="6"/>
      <c r="F318" s="6"/>
      <c r="O318" s="6"/>
      <c r="P318" s="25"/>
      <c r="R318" s="6"/>
      <c r="AB318" s="15"/>
      <c r="AC318" s="24"/>
      <c r="AD318" s="15"/>
      <c r="AO318" s="11"/>
      <c r="AP318" s="11"/>
      <c r="AR318" s="9"/>
      <c r="AS318" s="15"/>
      <c r="AT318" s="9"/>
      <c r="AU318" s="23"/>
      <c r="AV318" s="15"/>
      <c r="AW318" s="15"/>
      <c r="AX318" s="18"/>
      <c r="BA318" s="12"/>
      <c r="BC318" s="6"/>
      <c r="BD318" s="6"/>
    </row>
    <row r="319" spans="2:56" s="5" customFormat="1" ht="15" customHeight="1">
      <c r="B319" s="6"/>
      <c r="C319" s="6"/>
      <c r="D319" s="6"/>
      <c r="E319" s="6"/>
      <c r="F319" s="6"/>
      <c r="O319" s="6"/>
      <c r="P319" s="25"/>
      <c r="R319" s="6"/>
      <c r="AB319" s="15"/>
      <c r="AC319" s="24"/>
      <c r="AD319" s="15"/>
      <c r="AO319" s="11"/>
      <c r="AP319" s="11"/>
      <c r="AR319" s="9"/>
      <c r="AS319" s="15"/>
      <c r="AT319" s="9"/>
      <c r="AU319" s="23"/>
      <c r="AV319" s="15"/>
      <c r="AW319" s="15"/>
      <c r="AX319" s="18"/>
      <c r="BA319" s="12"/>
      <c r="BC319" s="6"/>
      <c r="BD319" s="6"/>
    </row>
    <row r="320" spans="2:56" s="5" customFormat="1" ht="15" customHeight="1">
      <c r="B320" s="6"/>
      <c r="C320" s="6"/>
      <c r="D320" s="6"/>
      <c r="E320" s="6"/>
      <c r="F320" s="6"/>
      <c r="O320" s="6"/>
      <c r="P320" s="25"/>
      <c r="R320" s="6"/>
      <c r="AB320" s="15"/>
      <c r="AC320" s="24"/>
      <c r="AD320" s="15"/>
      <c r="AO320" s="11"/>
      <c r="AP320" s="11"/>
      <c r="AR320" s="9"/>
      <c r="AS320" s="15"/>
      <c r="AT320" s="9"/>
      <c r="AU320" s="23"/>
      <c r="AV320" s="15"/>
      <c r="AW320" s="15"/>
      <c r="AX320" s="18"/>
      <c r="BA320" s="12"/>
      <c r="BC320" s="6"/>
      <c r="BD320" s="6"/>
    </row>
    <row r="321" spans="2:56" s="5" customFormat="1" ht="15" customHeight="1">
      <c r="B321" s="6"/>
      <c r="C321" s="6"/>
      <c r="D321" s="6"/>
      <c r="E321" s="6"/>
      <c r="F321" s="6"/>
      <c r="O321" s="6"/>
      <c r="P321" s="25"/>
      <c r="R321" s="6"/>
      <c r="AB321" s="15"/>
      <c r="AC321" s="24"/>
      <c r="AD321" s="15"/>
      <c r="AO321" s="11"/>
      <c r="AP321" s="11"/>
      <c r="AR321" s="9"/>
      <c r="AS321" s="15"/>
      <c r="AT321" s="9"/>
      <c r="AU321" s="23"/>
      <c r="AV321" s="15"/>
      <c r="AW321" s="15"/>
      <c r="AX321" s="18"/>
      <c r="BA321" s="12"/>
      <c r="BC321" s="6"/>
      <c r="BD321" s="6"/>
    </row>
    <row r="322" spans="2:56" s="5" customFormat="1" ht="15" customHeight="1">
      <c r="B322" s="6"/>
      <c r="C322" s="6"/>
      <c r="D322" s="6"/>
      <c r="E322" s="6"/>
      <c r="F322" s="6"/>
      <c r="O322" s="6"/>
      <c r="P322" s="25"/>
      <c r="R322" s="6"/>
      <c r="AB322" s="15"/>
      <c r="AC322" s="24"/>
      <c r="AD322" s="15"/>
      <c r="AO322" s="11"/>
      <c r="AP322" s="11"/>
      <c r="AR322" s="9"/>
      <c r="AS322" s="15"/>
      <c r="AT322" s="9"/>
      <c r="AU322" s="23"/>
      <c r="AV322" s="15"/>
      <c r="AW322" s="15"/>
      <c r="AX322" s="18"/>
      <c r="BA322" s="12"/>
      <c r="BC322" s="6"/>
      <c r="BD322" s="6"/>
    </row>
    <row r="323" spans="2:56" s="5" customFormat="1" ht="15" customHeight="1">
      <c r="B323" s="6"/>
      <c r="C323" s="6"/>
      <c r="D323" s="6"/>
      <c r="E323" s="6"/>
      <c r="F323" s="6"/>
      <c r="O323" s="6"/>
      <c r="P323" s="25"/>
      <c r="R323" s="6"/>
      <c r="AB323" s="15"/>
      <c r="AC323" s="24"/>
      <c r="AD323" s="15"/>
      <c r="AO323" s="11"/>
      <c r="AP323" s="11"/>
      <c r="AR323" s="9"/>
      <c r="AS323" s="15"/>
      <c r="AT323" s="9"/>
      <c r="AU323" s="23"/>
      <c r="AV323" s="15"/>
      <c r="AW323" s="15"/>
      <c r="AX323" s="18"/>
      <c r="BA323" s="12"/>
      <c r="BC323" s="6"/>
      <c r="BD323" s="6"/>
    </row>
    <row r="324" spans="2:56" s="5" customFormat="1" ht="15" customHeight="1">
      <c r="B324" s="6"/>
      <c r="C324" s="6"/>
      <c r="D324" s="6"/>
      <c r="E324" s="6"/>
      <c r="F324" s="6"/>
      <c r="O324" s="6"/>
      <c r="P324" s="25"/>
      <c r="R324" s="6"/>
      <c r="AB324" s="15"/>
      <c r="AC324" s="24"/>
      <c r="AD324" s="15"/>
      <c r="AO324" s="11"/>
      <c r="AP324" s="11"/>
      <c r="AR324" s="9"/>
      <c r="AS324" s="15"/>
      <c r="AT324" s="9"/>
      <c r="AU324" s="23"/>
      <c r="AV324" s="15"/>
      <c r="AW324" s="15"/>
      <c r="AX324" s="18"/>
      <c r="BA324" s="12"/>
      <c r="BC324" s="6"/>
      <c r="BD324" s="6"/>
    </row>
    <row r="325" spans="2:56" s="5" customFormat="1" ht="15" customHeight="1">
      <c r="B325" s="6"/>
      <c r="C325" s="6"/>
      <c r="D325" s="6"/>
      <c r="E325" s="6"/>
      <c r="F325" s="6"/>
      <c r="O325" s="6"/>
      <c r="P325" s="25"/>
      <c r="R325" s="6"/>
      <c r="AB325" s="15"/>
      <c r="AC325" s="24"/>
      <c r="AD325" s="15"/>
      <c r="AO325" s="11"/>
      <c r="AP325" s="11"/>
      <c r="AR325" s="9"/>
      <c r="AS325" s="15"/>
      <c r="AT325" s="9"/>
      <c r="AU325" s="23"/>
      <c r="AV325" s="15"/>
      <c r="AW325" s="15"/>
      <c r="AX325" s="18"/>
      <c r="BA325" s="12"/>
      <c r="BC325" s="6"/>
      <c r="BD325" s="6"/>
    </row>
    <row r="326" spans="2:56" s="5" customFormat="1" ht="15" customHeight="1">
      <c r="B326" s="6"/>
      <c r="C326" s="6"/>
      <c r="D326" s="6"/>
      <c r="E326" s="6"/>
      <c r="F326" s="6"/>
      <c r="O326" s="6"/>
      <c r="P326" s="25"/>
      <c r="R326" s="6"/>
      <c r="AB326" s="15"/>
      <c r="AC326" s="24"/>
      <c r="AD326" s="15"/>
      <c r="AO326" s="11"/>
      <c r="AP326" s="11"/>
      <c r="AR326" s="9"/>
      <c r="AS326" s="15"/>
      <c r="AT326" s="9"/>
      <c r="AU326" s="23"/>
      <c r="AV326" s="15"/>
      <c r="AW326" s="15"/>
      <c r="AX326" s="18"/>
      <c r="BA326" s="12"/>
      <c r="BC326" s="6"/>
      <c r="BD326" s="6"/>
    </row>
    <row r="327" spans="2:56" s="5" customFormat="1" ht="15" customHeight="1">
      <c r="B327" s="6"/>
      <c r="C327" s="6"/>
      <c r="D327" s="6"/>
      <c r="E327" s="6"/>
      <c r="F327" s="6"/>
      <c r="O327" s="6"/>
      <c r="P327" s="25"/>
      <c r="R327" s="6"/>
      <c r="AB327" s="15"/>
      <c r="AC327" s="24"/>
      <c r="AD327" s="15"/>
      <c r="AO327" s="11"/>
      <c r="AP327" s="11"/>
      <c r="AR327" s="9"/>
      <c r="AS327" s="15"/>
      <c r="AT327" s="9"/>
      <c r="AU327" s="23"/>
      <c r="AV327" s="15"/>
      <c r="AW327" s="15"/>
      <c r="AX327" s="18"/>
      <c r="BA327" s="12"/>
      <c r="BC327" s="6"/>
      <c r="BD327" s="6"/>
    </row>
    <row r="328" spans="2:56" s="5" customFormat="1" ht="15" customHeight="1">
      <c r="B328" s="6"/>
      <c r="C328" s="6"/>
      <c r="D328" s="6"/>
      <c r="E328" s="6"/>
      <c r="F328" s="6"/>
      <c r="O328" s="6"/>
      <c r="P328" s="25"/>
      <c r="R328" s="6"/>
      <c r="AB328" s="15"/>
      <c r="AC328" s="24"/>
      <c r="AD328" s="15"/>
      <c r="AO328" s="11"/>
      <c r="AP328" s="11"/>
      <c r="AR328" s="9"/>
      <c r="AS328" s="15"/>
      <c r="AT328" s="9"/>
      <c r="AU328" s="23"/>
      <c r="AV328" s="15"/>
      <c r="AW328" s="15"/>
      <c r="AX328" s="18"/>
      <c r="BA328" s="12"/>
      <c r="BC328" s="6"/>
      <c r="BD328" s="6"/>
    </row>
    <row r="329" spans="2:56" s="5" customFormat="1" ht="15" customHeight="1">
      <c r="B329" s="6"/>
      <c r="C329" s="6"/>
      <c r="D329" s="6"/>
      <c r="E329" s="6"/>
      <c r="F329" s="6"/>
      <c r="O329" s="6"/>
      <c r="P329" s="25"/>
      <c r="R329" s="6"/>
      <c r="AB329" s="15"/>
      <c r="AC329" s="24"/>
      <c r="AD329" s="15"/>
      <c r="AO329" s="11"/>
      <c r="AP329" s="11"/>
      <c r="AR329" s="9"/>
      <c r="AS329" s="15"/>
      <c r="AT329" s="9"/>
      <c r="AU329" s="23"/>
      <c r="AV329" s="15"/>
      <c r="AW329" s="15"/>
      <c r="AX329" s="18"/>
      <c r="BA329" s="12"/>
      <c r="BC329" s="6"/>
      <c r="BD329" s="6"/>
    </row>
    <row r="330" spans="2:56" s="5" customFormat="1" ht="15" customHeight="1">
      <c r="B330" s="6"/>
      <c r="C330" s="6"/>
      <c r="D330" s="6"/>
      <c r="E330" s="6"/>
      <c r="F330" s="6"/>
      <c r="O330" s="6"/>
      <c r="P330" s="25"/>
      <c r="R330" s="6"/>
      <c r="AB330" s="15"/>
      <c r="AC330" s="24"/>
      <c r="AD330" s="15"/>
      <c r="AO330" s="11"/>
      <c r="AP330" s="11"/>
      <c r="AR330" s="9"/>
      <c r="AS330" s="15"/>
      <c r="AT330" s="9"/>
      <c r="AU330" s="23"/>
      <c r="AV330" s="15"/>
      <c r="AW330" s="15"/>
      <c r="AX330" s="18"/>
      <c r="BA330" s="12"/>
      <c r="BC330" s="6"/>
      <c r="BD330" s="6"/>
    </row>
    <row r="331" spans="2:56" s="5" customFormat="1" ht="15" customHeight="1">
      <c r="B331" s="6"/>
      <c r="C331" s="6"/>
      <c r="D331" s="6"/>
      <c r="E331" s="6"/>
      <c r="F331" s="6"/>
      <c r="O331" s="6"/>
      <c r="P331" s="25"/>
      <c r="R331" s="6"/>
      <c r="AB331" s="15"/>
      <c r="AC331" s="24"/>
      <c r="AD331" s="15"/>
      <c r="AO331" s="11"/>
      <c r="AP331" s="11"/>
      <c r="AR331" s="9"/>
      <c r="AS331" s="15"/>
      <c r="AT331" s="9"/>
      <c r="AU331" s="23"/>
      <c r="AV331" s="15"/>
      <c r="AW331" s="15"/>
      <c r="AX331" s="18"/>
      <c r="BA331" s="12"/>
      <c r="BC331" s="6"/>
      <c r="BD331" s="6"/>
    </row>
    <row r="332" spans="2:56" s="5" customFormat="1" ht="15" customHeight="1">
      <c r="B332" s="6"/>
      <c r="C332" s="6"/>
      <c r="D332" s="6"/>
      <c r="E332" s="6"/>
      <c r="F332" s="6"/>
      <c r="O332" s="6"/>
      <c r="P332" s="25"/>
      <c r="R332" s="6"/>
      <c r="AB332" s="15"/>
      <c r="AC332" s="24"/>
      <c r="AD332" s="15"/>
      <c r="AO332" s="11"/>
      <c r="AP332" s="11"/>
      <c r="AR332" s="9"/>
      <c r="AS332" s="15"/>
      <c r="AT332" s="9"/>
      <c r="AU332" s="23"/>
      <c r="AV332" s="15"/>
      <c r="AW332" s="15"/>
      <c r="AX332" s="18"/>
      <c r="BA332" s="12"/>
      <c r="BC332" s="6"/>
      <c r="BD332" s="6"/>
    </row>
    <row r="333" spans="2:56" s="5" customFormat="1" ht="15" customHeight="1">
      <c r="B333" s="6"/>
      <c r="C333" s="6"/>
      <c r="D333" s="6"/>
      <c r="E333" s="6"/>
      <c r="F333" s="6"/>
      <c r="O333" s="6"/>
      <c r="P333" s="25"/>
      <c r="R333" s="6"/>
      <c r="AB333" s="15"/>
      <c r="AC333" s="24"/>
      <c r="AD333" s="15"/>
      <c r="AO333" s="11"/>
      <c r="AP333" s="11"/>
      <c r="AR333" s="9"/>
      <c r="AS333" s="15"/>
      <c r="AT333" s="9"/>
      <c r="AU333" s="23"/>
      <c r="AV333" s="15"/>
      <c r="AW333" s="15"/>
      <c r="AX333" s="18"/>
      <c r="BA333" s="12"/>
      <c r="BC333" s="6"/>
      <c r="BD333" s="6"/>
    </row>
    <row r="334" spans="2:56" s="5" customFormat="1" ht="15" customHeight="1">
      <c r="B334" s="6"/>
      <c r="C334" s="6"/>
      <c r="D334" s="6"/>
      <c r="E334" s="6"/>
      <c r="F334" s="6"/>
      <c r="O334" s="6"/>
      <c r="P334" s="25"/>
      <c r="R334" s="6"/>
      <c r="AB334" s="15"/>
      <c r="AC334" s="24"/>
      <c r="AD334" s="15"/>
      <c r="AO334" s="11"/>
      <c r="AP334" s="11"/>
      <c r="AR334" s="9"/>
      <c r="AS334" s="15"/>
      <c r="AT334" s="9"/>
      <c r="AU334" s="23"/>
      <c r="AV334" s="15"/>
      <c r="AW334" s="15"/>
      <c r="AX334" s="18"/>
      <c r="BA334" s="12"/>
      <c r="BC334" s="6"/>
      <c r="BD334" s="6"/>
    </row>
    <row r="335" spans="2:56" s="5" customFormat="1" ht="15" customHeight="1">
      <c r="B335" s="6"/>
      <c r="C335" s="6"/>
      <c r="D335" s="6"/>
      <c r="E335" s="6"/>
      <c r="F335" s="6"/>
      <c r="O335" s="6"/>
      <c r="P335" s="25"/>
      <c r="R335" s="6"/>
      <c r="AB335" s="15"/>
      <c r="AC335" s="24"/>
      <c r="AD335" s="15"/>
      <c r="AO335" s="11"/>
      <c r="AP335" s="11"/>
      <c r="AR335" s="9"/>
      <c r="AS335" s="15"/>
      <c r="AT335" s="9"/>
      <c r="AU335" s="23"/>
      <c r="AV335" s="15"/>
      <c r="AW335" s="15"/>
      <c r="AX335" s="18"/>
      <c r="BA335" s="12"/>
      <c r="BC335" s="6"/>
      <c r="BD335" s="6"/>
    </row>
    <row r="336" spans="2:56" s="5" customFormat="1" ht="15" customHeight="1">
      <c r="B336" s="6"/>
      <c r="C336" s="6"/>
      <c r="D336" s="6"/>
      <c r="E336" s="6"/>
      <c r="F336" s="6"/>
      <c r="O336" s="6"/>
      <c r="P336" s="25"/>
      <c r="R336" s="6"/>
      <c r="AB336" s="15"/>
      <c r="AC336" s="24"/>
      <c r="AD336" s="15"/>
      <c r="AO336" s="11"/>
      <c r="AP336" s="11"/>
      <c r="AR336" s="9"/>
      <c r="AS336" s="15"/>
      <c r="AT336" s="9"/>
      <c r="AU336" s="23"/>
      <c r="AV336" s="15"/>
      <c r="AW336" s="15"/>
      <c r="AX336" s="18"/>
      <c r="BA336" s="12"/>
      <c r="BC336" s="6"/>
      <c r="BD336" s="6"/>
    </row>
    <row r="337" spans="2:56" s="5" customFormat="1" ht="15" customHeight="1">
      <c r="B337" s="6"/>
      <c r="C337" s="6"/>
      <c r="D337" s="6"/>
      <c r="E337" s="6"/>
      <c r="F337" s="6"/>
      <c r="O337" s="6"/>
      <c r="P337" s="25"/>
      <c r="R337" s="6"/>
      <c r="AB337" s="15"/>
      <c r="AC337" s="24"/>
      <c r="AD337" s="15"/>
      <c r="AO337" s="11"/>
      <c r="AP337" s="11"/>
      <c r="AR337" s="9"/>
      <c r="AS337" s="15"/>
      <c r="AT337" s="9"/>
      <c r="AU337" s="23"/>
      <c r="AV337" s="15"/>
      <c r="AW337" s="15"/>
      <c r="AX337" s="18"/>
      <c r="BA337" s="12"/>
      <c r="BC337" s="6"/>
      <c r="BD337" s="6"/>
    </row>
    <row r="338" spans="2:56" s="5" customFormat="1" ht="15" customHeight="1">
      <c r="B338" s="6"/>
      <c r="C338" s="6"/>
      <c r="D338" s="6"/>
      <c r="E338" s="6"/>
      <c r="F338" s="6"/>
      <c r="O338" s="6"/>
      <c r="P338" s="25"/>
      <c r="R338" s="6"/>
      <c r="AB338" s="15"/>
      <c r="AC338" s="24"/>
      <c r="AD338" s="15"/>
      <c r="AO338" s="11"/>
      <c r="AP338" s="11"/>
      <c r="AR338" s="9"/>
      <c r="AS338" s="15"/>
      <c r="AT338" s="9"/>
      <c r="AU338" s="23"/>
      <c r="AV338" s="15"/>
      <c r="AW338" s="15"/>
      <c r="AX338" s="18"/>
      <c r="BA338" s="12"/>
      <c r="BC338" s="6"/>
      <c r="BD338" s="6"/>
    </row>
    <row r="339" spans="2:56" s="5" customFormat="1" ht="15" customHeight="1">
      <c r="B339" s="6"/>
      <c r="C339" s="6"/>
      <c r="D339" s="6"/>
      <c r="E339" s="6"/>
      <c r="F339" s="6"/>
      <c r="O339" s="6"/>
      <c r="P339" s="25"/>
      <c r="R339" s="6"/>
      <c r="AB339" s="15"/>
      <c r="AC339" s="24"/>
      <c r="AD339" s="15"/>
      <c r="AO339" s="11"/>
      <c r="AP339" s="11"/>
      <c r="AR339" s="9"/>
      <c r="AS339" s="15"/>
      <c r="AT339" s="9"/>
      <c r="AU339" s="23"/>
      <c r="AV339" s="15"/>
      <c r="AW339" s="15"/>
      <c r="AX339" s="18"/>
      <c r="BA339" s="12"/>
      <c r="BC339" s="6"/>
      <c r="BD339" s="6"/>
    </row>
    <row r="340" spans="2:56" s="5" customFormat="1" ht="15" customHeight="1">
      <c r="B340" s="6"/>
      <c r="C340" s="6"/>
      <c r="D340" s="6"/>
      <c r="E340" s="6"/>
      <c r="F340" s="6"/>
      <c r="O340" s="6"/>
      <c r="P340" s="25"/>
      <c r="R340" s="6"/>
      <c r="AB340" s="15"/>
      <c r="AC340" s="24"/>
      <c r="AD340" s="15"/>
      <c r="AO340" s="11"/>
      <c r="AP340" s="11"/>
      <c r="AR340" s="9"/>
      <c r="AS340" s="15"/>
      <c r="AT340" s="9"/>
      <c r="AU340" s="23"/>
      <c r="AV340" s="15"/>
      <c r="AW340" s="15"/>
      <c r="AX340" s="18"/>
      <c r="BA340" s="12"/>
      <c r="BC340" s="6"/>
      <c r="BD340" s="6"/>
    </row>
    <row r="341" spans="2:56" s="5" customFormat="1" ht="15" customHeight="1">
      <c r="B341" s="6"/>
      <c r="C341" s="6"/>
      <c r="D341" s="6"/>
      <c r="E341" s="6"/>
      <c r="F341" s="6"/>
      <c r="O341" s="6"/>
      <c r="P341" s="25"/>
      <c r="R341" s="6"/>
      <c r="AB341" s="15"/>
      <c r="AC341" s="24"/>
      <c r="AD341" s="15"/>
      <c r="AO341" s="11"/>
      <c r="AP341" s="11"/>
      <c r="AR341" s="9"/>
      <c r="AS341" s="15"/>
      <c r="AT341" s="9"/>
      <c r="AU341" s="23"/>
      <c r="AV341" s="15"/>
      <c r="AW341" s="15"/>
      <c r="AX341" s="18"/>
      <c r="BA341" s="12"/>
      <c r="BC341" s="6"/>
      <c r="BD341" s="6"/>
    </row>
    <row r="342" spans="2:56" s="5" customFormat="1" ht="15" customHeight="1">
      <c r="B342" s="6"/>
      <c r="C342" s="6"/>
      <c r="D342" s="6"/>
      <c r="E342" s="6"/>
      <c r="F342" s="6"/>
      <c r="O342" s="6"/>
      <c r="P342" s="25"/>
      <c r="R342" s="6"/>
      <c r="AB342" s="15"/>
      <c r="AC342" s="24"/>
      <c r="AD342" s="15"/>
      <c r="AO342" s="11"/>
      <c r="AP342" s="11"/>
      <c r="AR342" s="9"/>
      <c r="AS342" s="15"/>
      <c r="AT342" s="9"/>
      <c r="AU342" s="23"/>
      <c r="AV342" s="15"/>
      <c r="AW342" s="15"/>
      <c r="AX342" s="18"/>
      <c r="BA342" s="12"/>
      <c r="BC342" s="6"/>
      <c r="BD342" s="6"/>
    </row>
    <row r="343" spans="2:56" s="5" customFormat="1" ht="15" customHeight="1">
      <c r="B343" s="6"/>
      <c r="C343" s="6"/>
      <c r="D343" s="6"/>
      <c r="E343" s="6"/>
      <c r="F343" s="6"/>
      <c r="O343" s="6"/>
      <c r="P343" s="25"/>
      <c r="R343" s="6"/>
      <c r="AB343" s="15"/>
      <c r="AC343" s="24"/>
      <c r="AD343" s="15"/>
      <c r="AO343" s="11"/>
      <c r="AP343" s="11"/>
      <c r="AR343" s="9"/>
      <c r="AS343" s="15"/>
      <c r="AT343" s="9"/>
      <c r="AU343" s="23"/>
      <c r="AV343" s="15"/>
      <c r="AW343" s="15"/>
      <c r="AX343" s="18"/>
      <c r="BA343" s="12"/>
      <c r="BC343" s="6"/>
      <c r="BD343" s="6"/>
    </row>
    <row r="344" spans="2:56" s="5" customFormat="1" ht="15" customHeight="1">
      <c r="B344" s="6"/>
      <c r="C344" s="6"/>
      <c r="D344" s="6"/>
      <c r="E344" s="6"/>
      <c r="F344" s="6"/>
      <c r="O344" s="6"/>
      <c r="P344" s="25"/>
      <c r="R344" s="6"/>
      <c r="AB344" s="15"/>
      <c r="AC344" s="24"/>
      <c r="AD344" s="15"/>
      <c r="AO344" s="11"/>
      <c r="AP344" s="11"/>
      <c r="AR344" s="9"/>
      <c r="AS344" s="15"/>
      <c r="AT344" s="9"/>
      <c r="AU344" s="23"/>
      <c r="AV344" s="15"/>
      <c r="AW344" s="15"/>
      <c r="AX344" s="18"/>
      <c r="BA344" s="12"/>
      <c r="BC344" s="6"/>
      <c r="BD344" s="6"/>
    </row>
    <row r="345" spans="2:56" s="5" customFormat="1" ht="15" customHeight="1">
      <c r="B345" s="6"/>
      <c r="C345" s="6"/>
      <c r="D345" s="6"/>
      <c r="E345" s="6"/>
      <c r="F345" s="6"/>
      <c r="O345" s="6"/>
      <c r="P345" s="25"/>
      <c r="R345" s="6"/>
      <c r="AB345" s="15"/>
      <c r="AC345" s="24"/>
      <c r="AD345" s="15"/>
      <c r="AO345" s="11"/>
      <c r="AP345" s="11"/>
      <c r="AR345" s="9"/>
      <c r="AS345" s="15"/>
      <c r="AT345" s="9"/>
      <c r="AU345" s="23"/>
      <c r="AV345" s="15"/>
      <c r="AW345" s="15"/>
      <c r="AX345" s="18"/>
      <c r="BA345" s="12"/>
      <c r="BC345" s="6"/>
      <c r="BD345" s="6"/>
    </row>
    <row r="346" spans="2:56" s="5" customFormat="1" ht="15" customHeight="1">
      <c r="B346" s="6"/>
      <c r="C346" s="6"/>
      <c r="D346" s="6"/>
      <c r="E346" s="6"/>
      <c r="F346" s="6"/>
      <c r="O346" s="6"/>
      <c r="P346" s="25"/>
      <c r="R346" s="6"/>
      <c r="AB346" s="15"/>
      <c r="AC346" s="24"/>
      <c r="AD346" s="15"/>
      <c r="AO346" s="11"/>
      <c r="AP346" s="11"/>
      <c r="AR346" s="9"/>
      <c r="AS346" s="15"/>
      <c r="AT346" s="9"/>
      <c r="AU346" s="23"/>
      <c r="AV346" s="15"/>
      <c r="AW346" s="15"/>
      <c r="AX346" s="18"/>
      <c r="BA346" s="12"/>
      <c r="BC346" s="6"/>
      <c r="BD346" s="6"/>
    </row>
    <row r="347" spans="2:56" s="5" customFormat="1" ht="15" customHeight="1">
      <c r="B347" s="6"/>
      <c r="C347" s="6"/>
      <c r="D347" s="6"/>
      <c r="E347" s="6"/>
      <c r="F347" s="6"/>
      <c r="O347" s="6"/>
      <c r="P347" s="25"/>
      <c r="R347" s="6"/>
      <c r="AB347" s="15"/>
      <c r="AC347" s="24"/>
      <c r="AD347" s="15"/>
      <c r="AO347" s="11"/>
      <c r="AP347" s="11"/>
      <c r="AR347" s="9"/>
      <c r="AS347" s="15"/>
      <c r="AT347" s="9"/>
      <c r="AU347" s="23"/>
      <c r="AV347" s="15"/>
      <c r="AW347" s="15"/>
      <c r="AX347" s="18"/>
      <c r="BA347" s="12"/>
      <c r="BC347" s="6"/>
      <c r="BD347" s="6"/>
    </row>
    <row r="348" spans="2:56" s="5" customFormat="1" ht="15" customHeight="1">
      <c r="B348" s="6"/>
      <c r="C348" s="6"/>
      <c r="D348" s="6"/>
      <c r="E348" s="6"/>
      <c r="F348" s="6"/>
      <c r="O348" s="6"/>
      <c r="P348" s="25"/>
      <c r="R348" s="6"/>
      <c r="AB348" s="15"/>
      <c r="AC348" s="24"/>
      <c r="AD348" s="15"/>
      <c r="AO348" s="11"/>
      <c r="AP348" s="11"/>
      <c r="AR348" s="9"/>
      <c r="AS348" s="15"/>
      <c r="AT348" s="9"/>
      <c r="AU348" s="23"/>
      <c r="AV348" s="15"/>
      <c r="AW348" s="15"/>
      <c r="AX348" s="18"/>
      <c r="BA348" s="12"/>
      <c r="BC348" s="6"/>
      <c r="BD348" s="6"/>
    </row>
    <row r="349" spans="2:56" s="5" customFormat="1" ht="15" customHeight="1">
      <c r="B349" s="6"/>
      <c r="C349" s="6"/>
      <c r="D349" s="6"/>
      <c r="E349" s="6"/>
      <c r="F349" s="6"/>
      <c r="O349" s="6"/>
      <c r="P349" s="25"/>
      <c r="R349" s="6"/>
      <c r="AB349" s="15"/>
      <c r="AC349" s="24"/>
      <c r="AD349" s="15"/>
      <c r="AO349" s="11"/>
      <c r="AP349" s="11"/>
      <c r="AR349" s="9"/>
      <c r="AS349" s="15"/>
      <c r="AT349" s="9"/>
      <c r="AU349" s="23"/>
      <c r="AV349" s="15"/>
      <c r="AW349" s="15"/>
      <c r="AX349" s="18"/>
      <c r="BA349" s="12"/>
      <c r="BC349" s="6"/>
      <c r="BD349" s="6"/>
    </row>
    <row r="350" spans="2:56" s="5" customFormat="1" ht="15" customHeight="1">
      <c r="B350" s="6"/>
      <c r="C350" s="6"/>
      <c r="D350" s="6"/>
      <c r="E350" s="6"/>
      <c r="F350" s="6"/>
      <c r="O350" s="6"/>
      <c r="P350" s="25"/>
      <c r="R350" s="6"/>
      <c r="AB350" s="15"/>
      <c r="AC350" s="24"/>
      <c r="AD350" s="15"/>
      <c r="AO350" s="11"/>
      <c r="AP350" s="11"/>
      <c r="AR350" s="9"/>
      <c r="AS350" s="15"/>
      <c r="AT350" s="9"/>
      <c r="AU350" s="23"/>
      <c r="AV350" s="15"/>
      <c r="AW350" s="15"/>
      <c r="AX350" s="18"/>
      <c r="BA350" s="12"/>
      <c r="BC350" s="6"/>
      <c r="BD350" s="6"/>
    </row>
    <row r="351" spans="2:56" s="5" customFormat="1" ht="15" customHeight="1">
      <c r="B351" s="6"/>
      <c r="C351" s="6"/>
      <c r="D351" s="6"/>
      <c r="E351" s="6"/>
      <c r="F351" s="6"/>
      <c r="O351" s="6"/>
      <c r="P351" s="25"/>
      <c r="R351" s="6"/>
      <c r="AB351" s="15"/>
      <c r="AC351" s="24"/>
      <c r="AD351" s="15"/>
      <c r="AO351" s="11"/>
      <c r="AP351" s="11"/>
      <c r="AR351" s="9"/>
      <c r="AS351" s="15"/>
      <c r="AT351" s="9"/>
      <c r="AU351" s="23"/>
      <c r="AV351" s="15"/>
      <c r="AW351" s="15"/>
      <c r="AX351" s="18"/>
      <c r="BA351" s="12"/>
      <c r="BC351" s="6"/>
      <c r="BD351" s="6"/>
    </row>
    <row r="352" spans="2:56" s="5" customFormat="1" ht="15" customHeight="1">
      <c r="B352" s="6"/>
      <c r="C352" s="6"/>
      <c r="D352" s="6"/>
      <c r="E352" s="6"/>
      <c r="F352" s="6"/>
      <c r="O352" s="6"/>
      <c r="P352" s="25"/>
      <c r="R352" s="6"/>
      <c r="AB352" s="15"/>
      <c r="AC352" s="24"/>
      <c r="AD352" s="15"/>
      <c r="AO352" s="11"/>
      <c r="AP352" s="11"/>
      <c r="AR352" s="9"/>
      <c r="AS352" s="15"/>
      <c r="AT352" s="9"/>
      <c r="AU352" s="23"/>
      <c r="AV352" s="15"/>
      <c r="AW352" s="15"/>
      <c r="AX352" s="18"/>
      <c r="BA352" s="12"/>
      <c r="BC352" s="6"/>
      <c r="BD352" s="6"/>
    </row>
    <row r="353" spans="2:56" s="5" customFormat="1" ht="15" customHeight="1">
      <c r="B353" s="6"/>
      <c r="C353" s="6"/>
      <c r="D353" s="6"/>
      <c r="E353" s="6"/>
      <c r="F353" s="6"/>
      <c r="O353" s="6"/>
      <c r="P353" s="25"/>
      <c r="R353" s="6"/>
      <c r="AB353" s="15"/>
      <c r="AC353" s="24"/>
      <c r="AD353" s="15"/>
      <c r="AO353" s="11"/>
      <c r="AP353" s="11"/>
      <c r="AR353" s="9"/>
      <c r="AS353" s="15"/>
      <c r="AT353" s="9"/>
      <c r="AU353" s="23"/>
      <c r="AV353" s="15"/>
      <c r="AW353" s="15"/>
      <c r="AX353" s="18"/>
      <c r="BA353" s="12"/>
      <c r="BC353" s="6"/>
      <c r="BD353" s="6"/>
    </row>
    <row r="354" spans="2:56" s="5" customFormat="1" ht="15" customHeight="1">
      <c r="B354" s="6"/>
      <c r="C354" s="6"/>
      <c r="D354" s="6"/>
      <c r="E354" s="6"/>
      <c r="F354" s="6"/>
      <c r="O354" s="6"/>
      <c r="P354" s="25"/>
      <c r="R354" s="6"/>
      <c r="AB354" s="15"/>
      <c r="AC354" s="24"/>
      <c r="AD354" s="15"/>
      <c r="AO354" s="11"/>
      <c r="AP354" s="11"/>
      <c r="AR354" s="9"/>
      <c r="AS354" s="15"/>
      <c r="AT354" s="9"/>
      <c r="AU354" s="23"/>
      <c r="AV354" s="15"/>
      <c r="AW354" s="15"/>
      <c r="AX354" s="18"/>
      <c r="BA354" s="12"/>
      <c r="BC354" s="6"/>
      <c r="BD354" s="6"/>
    </row>
    <row r="355" spans="2:56" s="5" customFormat="1" ht="15" customHeight="1">
      <c r="B355" s="6"/>
      <c r="C355" s="6"/>
      <c r="D355" s="6"/>
      <c r="E355" s="6"/>
      <c r="F355" s="6"/>
      <c r="O355" s="6"/>
      <c r="P355" s="25"/>
      <c r="R355" s="6"/>
      <c r="AB355" s="15"/>
      <c r="AC355" s="24"/>
      <c r="AD355" s="15"/>
      <c r="AO355" s="11"/>
      <c r="AP355" s="11"/>
      <c r="AR355" s="9"/>
      <c r="AS355" s="15"/>
      <c r="AT355" s="9"/>
      <c r="AU355" s="23"/>
      <c r="AV355" s="15"/>
      <c r="AW355" s="15"/>
      <c r="AX355" s="18"/>
      <c r="BA355" s="12"/>
      <c r="BC355" s="6"/>
      <c r="BD355" s="6"/>
    </row>
    <row r="356" spans="2:56" s="5" customFormat="1" ht="15" customHeight="1">
      <c r="B356" s="6"/>
      <c r="C356" s="6"/>
      <c r="D356" s="6"/>
      <c r="E356" s="6"/>
      <c r="F356" s="6"/>
      <c r="O356" s="6"/>
      <c r="P356" s="25"/>
      <c r="R356" s="6"/>
      <c r="AB356" s="15"/>
      <c r="AC356" s="24"/>
      <c r="AD356" s="15"/>
      <c r="AO356" s="11"/>
      <c r="AP356" s="11"/>
      <c r="AR356" s="9"/>
      <c r="AS356" s="15"/>
      <c r="AT356" s="9"/>
      <c r="AU356" s="23"/>
      <c r="AV356" s="15"/>
      <c r="AW356" s="15"/>
      <c r="AX356" s="18"/>
      <c r="BA356" s="12"/>
      <c r="BC356" s="6"/>
      <c r="BD356" s="6"/>
    </row>
    <row r="357" spans="2:56" s="5" customFormat="1" ht="15" customHeight="1">
      <c r="B357" s="6"/>
      <c r="C357" s="6"/>
      <c r="D357" s="6"/>
      <c r="E357" s="6"/>
      <c r="F357" s="6"/>
      <c r="O357" s="6"/>
      <c r="P357" s="25"/>
      <c r="R357" s="6"/>
      <c r="AB357" s="15"/>
      <c r="AC357" s="24"/>
      <c r="AD357" s="15"/>
      <c r="AO357" s="11"/>
      <c r="AP357" s="11"/>
      <c r="AR357" s="9"/>
      <c r="AS357" s="15"/>
      <c r="AT357" s="9"/>
      <c r="AU357" s="23"/>
      <c r="AV357" s="15"/>
      <c r="AW357" s="15"/>
      <c r="AX357" s="18"/>
      <c r="BA357" s="12"/>
      <c r="BC357" s="6"/>
      <c r="BD357" s="6"/>
    </row>
    <row r="358" spans="2:56" s="5" customFormat="1" ht="15" customHeight="1">
      <c r="B358" s="6"/>
      <c r="C358" s="6"/>
      <c r="D358" s="6"/>
      <c r="E358" s="6"/>
      <c r="F358" s="6"/>
      <c r="O358" s="6"/>
      <c r="P358" s="25"/>
      <c r="R358" s="6"/>
      <c r="AB358" s="15"/>
      <c r="AC358" s="24"/>
      <c r="AD358" s="15"/>
      <c r="AO358" s="11"/>
      <c r="AP358" s="11"/>
      <c r="AR358" s="9"/>
      <c r="AS358" s="15"/>
      <c r="AT358" s="9"/>
      <c r="AU358" s="23"/>
      <c r="AV358" s="15"/>
      <c r="AW358" s="15"/>
      <c r="AX358" s="18"/>
      <c r="BA358" s="12"/>
      <c r="BC358" s="6"/>
      <c r="BD358" s="6"/>
    </row>
    <row r="359" spans="2:56" s="5" customFormat="1" ht="15" customHeight="1">
      <c r="B359" s="6"/>
      <c r="C359" s="6"/>
      <c r="D359" s="6"/>
      <c r="E359" s="6"/>
      <c r="F359" s="6"/>
      <c r="O359" s="6"/>
      <c r="P359" s="25"/>
      <c r="R359" s="6"/>
      <c r="AB359" s="15"/>
      <c r="AC359" s="24"/>
      <c r="AD359" s="15"/>
      <c r="AO359" s="11"/>
      <c r="AP359" s="11"/>
      <c r="AR359" s="9"/>
      <c r="AS359" s="15"/>
      <c r="AT359" s="9"/>
      <c r="AU359" s="23"/>
      <c r="AV359" s="15"/>
      <c r="AW359" s="15"/>
      <c r="AX359" s="18"/>
      <c r="BA359" s="12"/>
      <c r="BC359" s="6"/>
      <c r="BD359" s="6"/>
    </row>
    <row r="360" spans="2:56" s="5" customFormat="1" ht="15" customHeight="1">
      <c r="B360" s="6"/>
      <c r="C360" s="6"/>
      <c r="D360" s="6"/>
      <c r="E360" s="6"/>
      <c r="F360" s="6"/>
      <c r="O360" s="6"/>
      <c r="P360" s="25"/>
      <c r="R360" s="6"/>
      <c r="AB360" s="15"/>
      <c r="AC360" s="24"/>
      <c r="AD360" s="15"/>
      <c r="AO360" s="11"/>
      <c r="AP360" s="11"/>
      <c r="AR360" s="9"/>
      <c r="AS360" s="15"/>
      <c r="AT360" s="9"/>
      <c r="AU360" s="23"/>
      <c r="AV360" s="15"/>
      <c r="AW360" s="15"/>
      <c r="AX360" s="18"/>
      <c r="BA360" s="12"/>
      <c r="BC360" s="6"/>
      <c r="BD360" s="6"/>
    </row>
    <row r="361" spans="2:56" s="5" customFormat="1" ht="15" customHeight="1">
      <c r="B361" s="6"/>
      <c r="C361" s="6"/>
      <c r="D361" s="6"/>
      <c r="E361" s="6"/>
      <c r="F361" s="6"/>
      <c r="O361" s="6"/>
      <c r="P361" s="25"/>
      <c r="R361" s="6"/>
      <c r="AB361" s="15"/>
      <c r="AC361" s="24"/>
      <c r="AD361" s="15"/>
      <c r="AO361" s="11"/>
      <c r="AP361" s="11"/>
      <c r="AR361" s="9"/>
      <c r="AS361" s="15"/>
      <c r="AT361" s="9"/>
      <c r="AU361" s="23"/>
      <c r="AV361" s="15"/>
      <c r="AW361" s="15"/>
      <c r="AX361" s="18"/>
      <c r="BA361" s="12"/>
      <c r="BC361" s="6"/>
      <c r="BD361" s="6"/>
    </row>
    <row r="362" spans="2:56" s="5" customFormat="1" ht="15" customHeight="1">
      <c r="B362" s="6"/>
      <c r="C362" s="6"/>
      <c r="D362" s="6"/>
      <c r="E362" s="6"/>
      <c r="F362" s="6"/>
      <c r="O362" s="6"/>
      <c r="P362" s="25"/>
      <c r="R362" s="6"/>
      <c r="AB362" s="15"/>
      <c r="AC362" s="24"/>
      <c r="AD362" s="15"/>
      <c r="AO362" s="11"/>
      <c r="AP362" s="11"/>
      <c r="AR362" s="9"/>
      <c r="AS362" s="15"/>
      <c r="AT362" s="9"/>
      <c r="AU362" s="23"/>
      <c r="AV362" s="15"/>
      <c r="AW362" s="15"/>
      <c r="AX362" s="18"/>
      <c r="BA362" s="12"/>
      <c r="BC362" s="6"/>
      <c r="BD362" s="6"/>
    </row>
    <row r="363" spans="2:56" s="5" customFormat="1" ht="15" customHeight="1">
      <c r="B363" s="6"/>
      <c r="C363" s="6"/>
      <c r="D363" s="6"/>
      <c r="E363" s="6"/>
      <c r="F363" s="6"/>
      <c r="O363" s="6"/>
      <c r="P363" s="25"/>
      <c r="R363" s="6"/>
      <c r="AB363" s="15"/>
      <c r="AC363" s="24"/>
      <c r="AD363" s="15"/>
      <c r="AO363" s="11"/>
      <c r="AP363" s="11"/>
      <c r="AR363" s="9"/>
      <c r="AS363" s="15"/>
      <c r="AT363" s="9"/>
      <c r="AU363" s="23"/>
      <c r="AV363" s="15"/>
      <c r="AW363" s="15"/>
      <c r="AX363" s="18"/>
      <c r="BA363" s="12"/>
      <c r="BC363" s="6"/>
      <c r="BD363" s="6"/>
    </row>
    <row r="364" spans="2:56" s="5" customFormat="1" ht="15" customHeight="1">
      <c r="B364" s="6"/>
      <c r="C364" s="6"/>
      <c r="D364" s="6"/>
      <c r="E364" s="6"/>
      <c r="F364" s="6"/>
      <c r="O364" s="6"/>
      <c r="P364" s="25"/>
      <c r="R364" s="6"/>
      <c r="AB364" s="15"/>
      <c r="AC364" s="24"/>
      <c r="AD364" s="15"/>
      <c r="AO364" s="11"/>
      <c r="AP364" s="11"/>
      <c r="AR364" s="9"/>
      <c r="AS364" s="15"/>
      <c r="AT364" s="9"/>
      <c r="AU364" s="23"/>
      <c r="AV364" s="15"/>
      <c r="AW364" s="15"/>
      <c r="AX364" s="18"/>
      <c r="BA364" s="12"/>
      <c r="BC364" s="6"/>
      <c r="BD364" s="6"/>
    </row>
    <row r="365" spans="2:56" s="5" customFormat="1" ht="15" customHeight="1">
      <c r="B365" s="6"/>
      <c r="C365" s="6"/>
      <c r="D365" s="6"/>
      <c r="E365" s="6"/>
      <c r="F365" s="6"/>
      <c r="O365" s="6"/>
      <c r="P365" s="25"/>
      <c r="R365" s="6"/>
      <c r="AB365" s="15"/>
      <c r="AC365" s="24"/>
      <c r="AD365" s="15"/>
      <c r="AO365" s="11"/>
      <c r="AP365" s="11"/>
      <c r="AR365" s="9"/>
      <c r="AS365" s="15"/>
      <c r="AT365" s="9"/>
      <c r="AU365" s="23"/>
      <c r="AV365" s="15"/>
      <c r="AW365" s="15"/>
      <c r="AX365" s="18"/>
      <c r="BA365" s="12"/>
      <c r="BC365" s="6"/>
      <c r="BD365" s="6"/>
    </row>
    <row r="366" spans="2:56" s="5" customFormat="1" ht="15" customHeight="1">
      <c r="B366" s="6"/>
      <c r="C366" s="6"/>
      <c r="D366" s="6"/>
      <c r="E366" s="6"/>
      <c r="F366" s="6"/>
      <c r="O366" s="6"/>
      <c r="P366" s="25"/>
      <c r="R366" s="6"/>
      <c r="AB366" s="15"/>
      <c r="AC366" s="24"/>
      <c r="AD366" s="15"/>
      <c r="AO366" s="11"/>
      <c r="AP366" s="11"/>
      <c r="AR366" s="9"/>
      <c r="AS366" s="15"/>
      <c r="AT366" s="9"/>
      <c r="AU366" s="23"/>
      <c r="AV366" s="15"/>
      <c r="AW366" s="15"/>
      <c r="AX366" s="18"/>
      <c r="BA366" s="12"/>
      <c r="BC366" s="6"/>
      <c r="BD366" s="6"/>
    </row>
    <row r="367" spans="2:56" s="5" customFormat="1" ht="15" customHeight="1">
      <c r="B367" s="6"/>
      <c r="C367" s="6"/>
      <c r="D367" s="6"/>
      <c r="E367" s="6"/>
      <c r="F367" s="6"/>
      <c r="O367" s="6"/>
      <c r="P367" s="25"/>
      <c r="R367" s="6"/>
      <c r="AB367" s="15"/>
      <c r="AC367" s="24"/>
      <c r="AD367" s="15"/>
      <c r="AO367" s="11"/>
      <c r="AP367" s="11"/>
      <c r="AR367" s="9"/>
      <c r="AS367" s="15"/>
      <c r="AT367" s="9"/>
      <c r="AU367" s="23"/>
      <c r="AV367" s="15"/>
      <c r="AW367" s="15"/>
      <c r="AX367" s="18"/>
      <c r="BA367" s="12"/>
      <c r="BC367" s="6"/>
      <c r="BD367" s="6"/>
    </row>
    <row r="368" spans="2:56" s="5" customFormat="1" ht="15" customHeight="1">
      <c r="B368" s="6"/>
      <c r="C368" s="6"/>
      <c r="D368" s="6"/>
      <c r="E368" s="6"/>
      <c r="F368" s="6"/>
      <c r="O368" s="6"/>
      <c r="P368" s="25"/>
      <c r="R368" s="6"/>
      <c r="AB368" s="15"/>
      <c r="AC368" s="24"/>
      <c r="AD368" s="15"/>
      <c r="AO368" s="11"/>
      <c r="AP368" s="11"/>
      <c r="AR368" s="9"/>
      <c r="AS368" s="15"/>
      <c r="AT368" s="9"/>
      <c r="AU368" s="23"/>
      <c r="AV368" s="15"/>
      <c r="AW368" s="15"/>
      <c r="AX368" s="18"/>
      <c r="BA368" s="12"/>
      <c r="BC368" s="6"/>
      <c r="BD368" s="6"/>
    </row>
    <row r="369" spans="2:56" s="5" customFormat="1" ht="15" customHeight="1">
      <c r="B369" s="6"/>
      <c r="C369" s="6"/>
      <c r="D369" s="6"/>
      <c r="E369" s="6"/>
      <c r="F369" s="6"/>
      <c r="O369" s="6"/>
      <c r="P369" s="25"/>
      <c r="R369" s="6"/>
      <c r="AB369" s="15"/>
      <c r="AC369" s="24"/>
      <c r="AD369" s="15"/>
      <c r="AO369" s="11"/>
      <c r="AP369" s="11"/>
      <c r="AR369" s="9"/>
      <c r="AS369" s="15"/>
      <c r="AT369" s="9"/>
      <c r="AU369" s="23"/>
      <c r="AV369" s="15"/>
      <c r="AW369" s="15"/>
      <c r="AX369" s="18"/>
      <c r="BA369" s="12"/>
      <c r="BC369" s="6"/>
      <c r="BD369" s="6"/>
    </row>
    <row r="370" spans="2:56" s="5" customFormat="1" ht="15" customHeight="1">
      <c r="B370" s="6"/>
      <c r="C370" s="6"/>
      <c r="D370" s="6"/>
      <c r="E370" s="6"/>
      <c r="F370" s="6"/>
      <c r="O370" s="6"/>
      <c r="P370" s="25"/>
      <c r="R370" s="6"/>
      <c r="AB370" s="15"/>
      <c r="AC370" s="24"/>
      <c r="AD370" s="15"/>
      <c r="AO370" s="11"/>
      <c r="AP370" s="11"/>
      <c r="AR370" s="9"/>
      <c r="AS370" s="15"/>
      <c r="AT370" s="9"/>
      <c r="AU370" s="23"/>
      <c r="AV370" s="15"/>
      <c r="AW370" s="15"/>
      <c r="AX370" s="18"/>
      <c r="BA370" s="12"/>
      <c r="BC370" s="6"/>
      <c r="BD370" s="6"/>
    </row>
    <row r="371" spans="2:56" s="5" customFormat="1" ht="15" customHeight="1">
      <c r="B371" s="6"/>
      <c r="C371" s="6"/>
      <c r="D371" s="6"/>
      <c r="E371" s="6"/>
      <c r="F371" s="6"/>
      <c r="O371" s="6"/>
      <c r="P371" s="25"/>
      <c r="R371" s="6"/>
      <c r="AB371" s="15"/>
      <c r="AC371" s="24"/>
      <c r="AD371" s="15"/>
      <c r="AO371" s="11"/>
      <c r="AP371" s="11"/>
      <c r="AR371" s="9"/>
      <c r="AS371" s="15"/>
      <c r="AT371" s="9"/>
      <c r="AU371" s="23"/>
      <c r="AV371" s="15"/>
      <c r="AW371" s="15"/>
      <c r="AX371" s="18"/>
      <c r="BA371" s="12"/>
      <c r="BC371" s="6"/>
      <c r="BD371" s="6"/>
    </row>
    <row r="372" spans="2:56" s="5" customFormat="1" ht="15" customHeight="1">
      <c r="B372" s="6"/>
      <c r="C372" s="6"/>
      <c r="D372" s="6"/>
      <c r="E372" s="6"/>
      <c r="F372" s="6"/>
      <c r="O372" s="6"/>
      <c r="P372" s="25"/>
      <c r="R372" s="6"/>
      <c r="AB372" s="15"/>
      <c r="AC372" s="24"/>
      <c r="AD372" s="15"/>
      <c r="AO372" s="11"/>
      <c r="AP372" s="11"/>
      <c r="AR372" s="9"/>
      <c r="AS372" s="15"/>
      <c r="AT372" s="9"/>
      <c r="AU372" s="23"/>
      <c r="AV372" s="15"/>
      <c r="AW372" s="15"/>
      <c r="AX372" s="18"/>
      <c r="BA372" s="12"/>
      <c r="BC372" s="6"/>
      <c r="BD372" s="6"/>
    </row>
    <row r="373" spans="2:56" s="5" customFormat="1" ht="15" customHeight="1">
      <c r="B373" s="6"/>
      <c r="C373" s="6"/>
      <c r="D373" s="6"/>
      <c r="E373" s="6"/>
      <c r="F373" s="6"/>
      <c r="O373" s="6"/>
      <c r="P373" s="25"/>
      <c r="R373" s="6"/>
      <c r="AB373" s="15"/>
      <c r="AC373" s="24"/>
      <c r="AD373" s="15"/>
      <c r="AO373" s="11"/>
      <c r="AP373" s="11"/>
      <c r="AR373" s="9"/>
      <c r="AS373" s="15"/>
      <c r="AT373" s="9"/>
      <c r="AU373" s="23"/>
      <c r="AV373" s="15"/>
      <c r="AW373" s="15"/>
      <c r="AX373" s="18"/>
      <c r="BA373" s="12"/>
      <c r="BC373" s="6"/>
      <c r="BD373" s="6"/>
    </row>
    <row r="374" spans="2:56" s="5" customFormat="1" ht="15" customHeight="1">
      <c r="B374" s="6"/>
      <c r="C374" s="6"/>
      <c r="D374" s="6"/>
      <c r="E374" s="6"/>
      <c r="F374" s="6"/>
      <c r="O374" s="6"/>
      <c r="P374" s="25"/>
      <c r="R374" s="6"/>
      <c r="AB374" s="15"/>
      <c r="AC374" s="24"/>
      <c r="AD374" s="15"/>
      <c r="AO374" s="11"/>
      <c r="AP374" s="11"/>
      <c r="AR374" s="9"/>
      <c r="AS374" s="15"/>
      <c r="AT374" s="9"/>
      <c r="AU374" s="23"/>
      <c r="AV374" s="15"/>
      <c r="AW374" s="15"/>
      <c r="AX374" s="18"/>
      <c r="BA374" s="12"/>
      <c r="BC374" s="6"/>
      <c r="BD374" s="6"/>
    </row>
    <row r="375" spans="2:56" s="5" customFormat="1" ht="15" customHeight="1">
      <c r="B375" s="6"/>
      <c r="C375" s="6"/>
      <c r="D375" s="6"/>
      <c r="E375" s="6"/>
      <c r="F375" s="6"/>
      <c r="O375" s="6"/>
      <c r="P375" s="25"/>
      <c r="R375" s="6"/>
      <c r="AB375" s="15"/>
      <c r="AC375" s="24"/>
      <c r="AD375" s="15"/>
      <c r="AO375" s="11"/>
      <c r="AP375" s="11"/>
      <c r="AR375" s="9"/>
      <c r="AS375" s="15"/>
      <c r="AT375" s="9"/>
      <c r="AU375" s="23"/>
      <c r="AV375" s="15"/>
      <c r="AW375" s="15"/>
      <c r="AX375" s="18"/>
      <c r="BA375" s="12"/>
      <c r="BC375" s="6"/>
      <c r="BD375" s="6"/>
    </row>
    <row r="376" spans="2:56" s="5" customFormat="1" ht="15" customHeight="1">
      <c r="B376" s="6"/>
      <c r="C376" s="6"/>
      <c r="D376" s="6"/>
      <c r="E376" s="6"/>
      <c r="F376" s="6"/>
      <c r="O376" s="6"/>
      <c r="P376" s="25"/>
      <c r="R376" s="6"/>
      <c r="AB376" s="15"/>
      <c r="AC376" s="24"/>
      <c r="AD376" s="15"/>
      <c r="AO376" s="11"/>
      <c r="AP376" s="11"/>
      <c r="AR376" s="9"/>
      <c r="AS376" s="15"/>
      <c r="AT376" s="9"/>
      <c r="AU376" s="23"/>
      <c r="AV376" s="15"/>
      <c r="AW376" s="15"/>
      <c r="AX376" s="18"/>
      <c r="BA376" s="12"/>
      <c r="BC376" s="6"/>
      <c r="BD376" s="6"/>
    </row>
    <row r="377" spans="2:56" s="5" customFormat="1" ht="15" customHeight="1">
      <c r="B377" s="6"/>
      <c r="C377" s="6"/>
      <c r="D377" s="6"/>
      <c r="E377" s="6"/>
      <c r="F377" s="6"/>
      <c r="O377" s="6"/>
      <c r="P377" s="25"/>
      <c r="R377" s="6"/>
      <c r="AB377" s="15"/>
      <c r="AC377" s="24"/>
      <c r="AD377" s="15"/>
      <c r="AO377" s="11"/>
      <c r="AP377" s="11"/>
      <c r="AR377" s="9"/>
      <c r="AS377" s="15"/>
      <c r="AT377" s="9"/>
      <c r="AU377" s="23"/>
      <c r="AV377" s="15"/>
      <c r="AW377" s="15"/>
      <c r="AX377" s="18"/>
      <c r="BA377" s="12"/>
      <c r="BC377" s="6"/>
      <c r="BD377" s="6"/>
    </row>
    <row r="378" spans="2:56" s="5" customFormat="1" ht="15" customHeight="1">
      <c r="B378" s="6"/>
      <c r="C378" s="6"/>
      <c r="D378" s="6"/>
      <c r="E378" s="6"/>
      <c r="F378" s="6"/>
      <c r="O378" s="6"/>
      <c r="P378" s="25"/>
      <c r="R378" s="6"/>
      <c r="AB378" s="15"/>
      <c r="AC378" s="24"/>
      <c r="AD378" s="15"/>
      <c r="AO378" s="11"/>
      <c r="AP378" s="11"/>
      <c r="AR378" s="9"/>
      <c r="AS378" s="15"/>
      <c r="AT378" s="9"/>
      <c r="AU378" s="23"/>
      <c r="AV378" s="15"/>
      <c r="AW378" s="15"/>
      <c r="AX378" s="18"/>
      <c r="BA378" s="12"/>
      <c r="BC378" s="6"/>
      <c r="BD378" s="6"/>
    </row>
    <row r="379" spans="2:56" s="5" customFormat="1" ht="15" customHeight="1">
      <c r="B379" s="6"/>
      <c r="C379" s="6"/>
      <c r="D379" s="6"/>
      <c r="E379" s="6"/>
      <c r="F379" s="6"/>
      <c r="O379" s="6"/>
      <c r="P379" s="25"/>
      <c r="R379" s="6"/>
      <c r="AB379" s="15"/>
      <c r="AC379" s="24"/>
      <c r="AD379" s="15"/>
      <c r="AO379" s="11"/>
      <c r="AP379" s="11"/>
      <c r="AR379" s="9"/>
      <c r="AS379" s="15"/>
      <c r="AT379" s="9"/>
      <c r="AU379" s="23"/>
      <c r="AV379" s="15"/>
      <c r="AW379" s="15"/>
      <c r="AX379" s="18"/>
      <c r="BA379" s="12"/>
      <c r="BC379" s="6"/>
      <c r="BD379" s="6"/>
    </row>
    <row r="380" spans="2:56" s="5" customFormat="1" ht="15" customHeight="1">
      <c r="B380" s="6"/>
      <c r="C380" s="6"/>
      <c r="D380" s="6"/>
      <c r="E380" s="6"/>
      <c r="F380" s="6"/>
      <c r="O380" s="6"/>
      <c r="P380" s="25"/>
      <c r="R380" s="6"/>
      <c r="AB380" s="15"/>
      <c r="AC380" s="24"/>
      <c r="AD380" s="15"/>
      <c r="AO380" s="11"/>
      <c r="AP380" s="11"/>
      <c r="AR380" s="9"/>
      <c r="AS380" s="15"/>
      <c r="AT380" s="9"/>
      <c r="AU380" s="23"/>
      <c r="AV380" s="15"/>
      <c r="AW380" s="15"/>
      <c r="AX380" s="18"/>
      <c r="BA380" s="12"/>
      <c r="BC380" s="6"/>
      <c r="BD380" s="6"/>
    </row>
    <row r="381" spans="2:56" s="5" customFormat="1" ht="15" customHeight="1">
      <c r="B381" s="6"/>
      <c r="C381" s="6"/>
      <c r="D381" s="6"/>
      <c r="E381" s="6"/>
      <c r="F381" s="6"/>
      <c r="O381" s="6"/>
      <c r="P381" s="25"/>
      <c r="R381" s="6"/>
      <c r="AB381" s="15"/>
      <c r="AC381" s="24"/>
      <c r="AD381" s="15"/>
      <c r="AO381" s="11"/>
      <c r="AP381" s="11"/>
      <c r="AR381" s="9"/>
      <c r="AS381" s="15"/>
      <c r="AT381" s="9"/>
      <c r="AU381" s="23"/>
      <c r="AV381" s="15"/>
      <c r="AW381" s="15"/>
      <c r="AX381" s="18"/>
      <c r="BA381" s="12"/>
      <c r="BC381" s="6"/>
      <c r="BD381" s="6"/>
    </row>
    <row r="382" spans="2:56" s="5" customFormat="1" ht="15" customHeight="1">
      <c r="B382" s="6"/>
      <c r="C382" s="6"/>
      <c r="D382" s="6"/>
      <c r="E382" s="6"/>
      <c r="F382" s="6"/>
      <c r="O382" s="6"/>
      <c r="P382" s="25"/>
      <c r="R382" s="6"/>
      <c r="AB382" s="15"/>
      <c r="AC382" s="24"/>
      <c r="AD382" s="15"/>
      <c r="AO382" s="11"/>
      <c r="AP382" s="11"/>
      <c r="AR382" s="9"/>
      <c r="AS382" s="15"/>
      <c r="AT382" s="9"/>
      <c r="AU382" s="23"/>
      <c r="AV382" s="15"/>
      <c r="AW382" s="15"/>
      <c r="AX382" s="18"/>
      <c r="BA382" s="12"/>
      <c r="BC382" s="6"/>
      <c r="BD382" s="6"/>
    </row>
    <row r="383" spans="2:56" s="5" customFormat="1" ht="15" customHeight="1">
      <c r="B383" s="6"/>
      <c r="C383" s="6"/>
      <c r="D383" s="6"/>
      <c r="E383" s="6"/>
      <c r="F383" s="6"/>
      <c r="O383" s="6"/>
      <c r="P383" s="25"/>
      <c r="R383" s="6"/>
      <c r="AB383" s="15"/>
      <c r="AC383" s="24"/>
      <c r="AD383" s="15"/>
      <c r="AO383" s="11"/>
      <c r="AP383" s="11"/>
      <c r="AR383" s="9"/>
      <c r="AS383" s="15"/>
      <c r="AT383" s="9"/>
      <c r="AU383" s="23"/>
      <c r="AV383" s="15"/>
      <c r="AW383" s="15"/>
      <c r="AX383" s="18"/>
      <c r="BA383" s="12"/>
      <c r="BC383" s="6"/>
      <c r="BD383" s="6"/>
    </row>
    <row r="384" spans="2:56" s="5" customFormat="1" ht="15" customHeight="1">
      <c r="B384" s="6"/>
      <c r="C384" s="6"/>
      <c r="D384" s="6"/>
      <c r="E384" s="6"/>
      <c r="F384" s="6"/>
      <c r="O384" s="6"/>
      <c r="P384" s="25"/>
      <c r="R384" s="6"/>
      <c r="AB384" s="15"/>
      <c r="AC384" s="24"/>
      <c r="AD384" s="15"/>
      <c r="AO384" s="11"/>
      <c r="AP384" s="11"/>
      <c r="AR384" s="9"/>
      <c r="AS384" s="15"/>
      <c r="AT384" s="9"/>
      <c r="AU384" s="23"/>
      <c r="AV384" s="15"/>
      <c r="AW384" s="15"/>
      <c r="AX384" s="18"/>
      <c r="BA384" s="12"/>
      <c r="BC384" s="6"/>
      <c r="BD384" s="6"/>
    </row>
    <row r="385" spans="2:56" s="5" customFormat="1" ht="15" customHeight="1">
      <c r="B385" s="6"/>
      <c r="C385" s="6"/>
      <c r="D385" s="6"/>
      <c r="E385" s="6"/>
      <c r="F385" s="6"/>
      <c r="O385" s="6"/>
      <c r="P385" s="25"/>
      <c r="R385" s="6"/>
      <c r="AB385" s="15"/>
      <c r="AC385" s="24"/>
      <c r="AD385" s="15"/>
      <c r="AO385" s="11"/>
      <c r="AP385" s="11"/>
      <c r="AR385" s="9"/>
      <c r="AS385" s="15"/>
      <c r="AT385" s="9"/>
      <c r="AU385" s="23"/>
      <c r="AV385" s="15"/>
      <c r="AW385" s="15"/>
      <c r="AX385" s="18"/>
      <c r="BA385" s="12"/>
      <c r="BC385" s="6"/>
      <c r="BD385" s="6"/>
    </row>
    <row r="386" spans="2:56" s="5" customFormat="1" ht="15" customHeight="1">
      <c r="B386" s="6"/>
      <c r="C386" s="6"/>
      <c r="D386" s="6"/>
      <c r="E386" s="6"/>
      <c r="F386" s="6"/>
      <c r="O386" s="6"/>
      <c r="P386" s="25"/>
      <c r="R386" s="6"/>
      <c r="AB386" s="15"/>
      <c r="AC386" s="24"/>
      <c r="AD386" s="15"/>
      <c r="AO386" s="11"/>
      <c r="AP386" s="11"/>
      <c r="AR386" s="9"/>
      <c r="AS386" s="15"/>
      <c r="AT386" s="9"/>
      <c r="AU386" s="23"/>
      <c r="AV386" s="15"/>
      <c r="AW386" s="15"/>
      <c r="AX386" s="18"/>
      <c r="BA386" s="12"/>
      <c r="BC386" s="6"/>
      <c r="BD386" s="6"/>
    </row>
    <row r="387" spans="2:56" s="5" customFormat="1" ht="15" customHeight="1">
      <c r="B387" s="6"/>
      <c r="C387" s="6"/>
      <c r="D387" s="6"/>
      <c r="E387" s="6"/>
      <c r="F387" s="6"/>
      <c r="O387" s="6"/>
      <c r="P387" s="25"/>
      <c r="R387" s="6"/>
      <c r="AB387" s="15"/>
      <c r="AC387" s="24"/>
      <c r="AD387" s="15"/>
      <c r="AO387" s="11"/>
      <c r="AP387" s="11"/>
      <c r="AR387" s="9"/>
      <c r="AS387" s="15"/>
      <c r="AT387" s="9"/>
      <c r="AU387" s="23"/>
      <c r="AV387" s="15"/>
      <c r="AW387" s="15"/>
      <c r="AX387" s="18"/>
      <c r="BA387" s="12"/>
      <c r="BC387" s="6"/>
      <c r="BD387" s="6"/>
    </row>
    <row r="388" spans="2:56" s="5" customFormat="1" ht="15" customHeight="1">
      <c r="B388" s="6"/>
      <c r="C388" s="6"/>
      <c r="D388" s="6"/>
      <c r="E388" s="6"/>
      <c r="F388" s="6"/>
      <c r="O388" s="6"/>
      <c r="P388" s="25"/>
      <c r="R388" s="6"/>
      <c r="AB388" s="15"/>
      <c r="AC388" s="24"/>
      <c r="AD388" s="15"/>
      <c r="AO388" s="11"/>
      <c r="AP388" s="11"/>
      <c r="AR388" s="9"/>
      <c r="AS388" s="15"/>
      <c r="AT388" s="9"/>
      <c r="AU388" s="23"/>
      <c r="AV388" s="15"/>
      <c r="AW388" s="15"/>
      <c r="AX388" s="18"/>
      <c r="BA388" s="12"/>
      <c r="BC388" s="6"/>
      <c r="BD388" s="6"/>
    </row>
    <row r="389" spans="2:56" s="5" customFormat="1" ht="15" customHeight="1">
      <c r="B389" s="6"/>
      <c r="C389" s="6"/>
      <c r="D389" s="6"/>
      <c r="E389" s="6"/>
      <c r="F389" s="6"/>
      <c r="O389" s="6"/>
      <c r="P389" s="25"/>
      <c r="R389" s="6"/>
      <c r="AB389" s="15"/>
      <c r="AC389" s="24"/>
      <c r="AD389" s="15"/>
      <c r="AO389" s="11"/>
      <c r="AP389" s="11"/>
      <c r="AR389" s="9"/>
      <c r="AS389" s="15"/>
      <c r="AT389" s="9"/>
      <c r="AU389" s="23"/>
      <c r="AV389" s="15"/>
      <c r="AW389" s="15"/>
      <c r="AX389" s="18"/>
      <c r="BA389" s="12"/>
      <c r="BC389" s="6"/>
      <c r="BD389" s="6"/>
    </row>
    <row r="390" spans="2:56" s="5" customFormat="1" ht="15" customHeight="1">
      <c r="B390" s="6"/>
      <c r="C390" s="6"/>
      <c r="D390" s="6"/>
      <c r="E390" s="6"/>
      <c r="F390" s="6"/>
      <c r="O390" s="6"/>
      <c r="P390" s="25"/>
      <c r="R390" s="6"/>
      <c r="AB390" s="15"/>
      <c r="AC390" s="24"/>
      <c r="AD390" s="15"/>
      <c r="AO390" s="11"/>
      <c r="AP390" s="11"/>
      <c r="AR390" s="9"/>
      <c r="AS390" s="15"/>
      <c r="AT390" s="9"/>
      <c r="AU390" s="23"/>
      <c r="AV390" s="15"/>
      <c r="AW390" s="15"/>
      <c r="AX390" s="18"/>
      <c r="BA390" s="12"/>
      <c r="BC390" s="6"/>
      <c r="BD390" s="6"/>
    </row>
    <row r="391" spans="2:56" s="5" customFormat="1" ht="15" customHeight="1">
      <c r="B391" s="6"/>
      <c r="C391" s="6"/>
      <c r="D391" s="6"/>
      <c r="E391" s="6"/>
      <c r="F391" s="6"/>
      <c r="O391" s="6"/>
      <c r="P391" s="25"/>
      <c r="R391" s="6"/>
      <c r="AB391" s="15"/>
      <c r="AC391" s="24"/>
      <c r="AD391" s="15"/>
      <c r="AO391" s="11"/>
      <c r="AP391" s="11"/>
      <c r="AR391" s="9"/>
      <c r="AS391" s="15"/>
      <c r="AT391" s="9"/>
      <c r="AU391" s="23"/>
      <c r="AV391" s="15"/>
      <c r="AW391" s="15"/>
      <c r="AX391" s="18"/>
      <c r="BA391" s="12"/>
      <c r="BC391" s="6"/>
      <c r="BD391" s="6"/>
    </row>
    <row r="392" spans="2:56" s="5" customFormat="1" ht="15" customHeight="1">
      <c r="B392" s="6"/>
      <c r="C392" s="6"/>
      <c r="D392" s="6"/>
      <c r="E392" s="6"/>
      <c r="F392" s="6"/>
      <c r="O392" s="6"/>
      <c r="P392" s="25"/>
      <c r="R392" s="6"/>
      <c r="AB392" s="15"/>
      <c r="AC392" s="24"/>
      <c r="AD392" s="15"/>
      <c r="AO392" s="11"/>
      <c r="AP392" s="11"/>
      <c r="AR392" s="9"/>
      <c r="AS392" s="15"/>
      <c r="AT392" s="9"/>
      <c r="AU392" s="23"/>
      <c r="AV392" s="15"/>
      <c r="AW392" s="15"/>
      <c r="AX392" s="18"/>
      <c r="BA392" s="12"/>
      <c r="BC392" s="6"/>
      <c r="BD392" s="6"/>
    </row>
    <row r="393" spans="2:56" s="5" customFormat="1" ht="15" customHeight="1">
      <c r="B393" s="6"/>
      <c r="C393" s="6"/>
      <c r="D393" s="6"/>
      <c r="E393" s="6"/>
      <c r="F393" s="6"/>
      <c r="O393" s="6"/>
      <c r="P393" s="25"/>
      <c r="R393" s="6"/>
      <c r="AB393" s="15"/>
      <c r="AC393" s="24"/>
      <c r="AD393" s="15"/>
      <c r="AO393" s="11"/>
      <c r="AP393" s="11"/>
      <c r="AR393" s="9"/>
      <c r="AS393" s="15"/>
      <c r="AT393" s="9"/>
      <c r="AU393" s="23"/>
      <c r="AV393" s="15"/>
      <c r="AW393" s="15"/>
      <c r="AX393" s="18"/>
      <c r="BA393" s="12"/>
      <c r="BC393" s="6"/>
      <c r="BD393" s="6"/>
    </row>
    <row r="394" spans="2:56" s="5" customFormat="1" ht="15" customHeight="1">
      <c r="B394" s="6"/>
      <c r="C394" s="6"/>
      <c r="D394" s="6"/>
      <c r="E394" s="6"/>
      <c r="F394" s="6"/>
      <c r="O394" s="6"/>
      <c r="P394" s="25"/>
      <c r="R394" s="6"/>
      <c r="AB394" s="15"/>
      <c r="AC394" s="24"/>
      <c r="AD394" s="15"/>
      <c r="AO394" s="11"/>
      <c r="AP394" s="11"/>
      <c r="AR394" s="9"/>
      <c r="AS394" s="15"/>
      <c r="AT394" s="9"/>
      <c r="AU394" s="23"/>
      <c r="AV394" s="15"/>
      <c r="AW394" s="15"/>
      <c r="AX394" s="18"/>
      <c r="BA394" s="12"/>
      <c r="BC394" s="6"/>
      <c r="BD394" s="6"/>
    </row>
    <row r="395" spans="2:56" s="5" customFormat="1" ht="15" customHeight="1">
      <c r="B395" s="6"/>
      <c r="C395" s="6"/>
      <c r="D395" s="6"/>
      <c r="E395" s="6"/>
      <c r="F395" s="6"/>
      <c r="O395" s="6"/>
      <c r="P395" s="25"/>
      <c r="R395" s="6"/>
      <c r="AB395" s="15"/>
      <c r="AC395" s="24"/>
      <c r="AD395" s="15"/>
      <c r="AO395" s="11"/>
      <c r="AP395" s="11"/>
      <c r="AR395" s="9"/>
      <c r="AS395" s="15"/>
      <c r="AT395" s="9"/>
      <c r="AU395" s="23"/>
      <c r="AV395" s="15"/>
      <c r="AW395" s="15"/>
      <c r="AX395" s="18"/>
      <c r="BA395" s="12"/>
      <c r="BC395" s="6"/>
      <c r="BD395" s="6"/>
    </row>
    <row r="396" spans="2:56" s="5" customFormat="1" ht="15" customHeight="1">
      <c r="B396" s="6"/>
      <c r="C396" s="6"/>
      <c r="D396" s="6"/>
      <c r="E396" s="6"/>
      <c r="F396" s="6"/>
      <c r="O396" s="6"/>
      <c r="P396" s="25"/>
      <c r="R396" s="6"/>
      <c r="AB396" s="15"/>
      <c r="AC396" s="24"/>
      <c r="AD396" s="15"/>
      <c r="AO396" s="11"/>
      <c r="AP396" s="11"/>
      <c r="AR396" s="9"/>
      <c r="AS396" s="15"/>
      <c r="AT396" s="9"/>
      <c r="AU396" s="23"/>
      <c r="AV396" s="15"/>
      <c r="AW396" s="15"/>
      <c r="AX396" s="18"/>
      <c r="BA396" s="12"/>
      <c r="BC396" s="6"/>
      <c r="BD396" s="6"/>
    </row>
    <row r="397" spans="2:56" s="5" customFormat="1" ht="15" customHeight="1">
      <c r="B397" s="6"/>
      <c r="C397" s="6"/>
      <c r="D397" s="6"/>
      <c r="E397" s="6"/>
      <c r="F397" s="6"/>
      <c r="O397" s="6"/>
      <c r="P397" s="25"/>
      <c r="R397" s="6"/>
      <c r="AB397" s="15"/>
      <c r="AC397" s="24"/>
      <c r="AD397" s="15"/>
      <c r="AO397" s="11"/>
      <c r="AP397" s="11"/>
      <c r="AR397" s="9"/>
      <c r="AS397" s="15"/>
      <c r="AT397" s="9"/>
      <c r="AU397" s="23"/>
      <c r="AV397" s="15"/>
      <c r="AW397" s="15"/>
      <c r="AX397" s="18"/>
      <c r="BA397" s="12"/>
      <c r="BC397" s="6"/>
      <c r="BD397" s="6"/>
    </row>
    <row r="398" spans="2:56" s="5" customFormat="1" ht="15" customHeight="1">
      <c r="B398" s="6"/>
      <c r="C398" s="6"/>
      <c r="D398" s="6"/>
      <c r="E398" s="6"/>
      <c r="F398" s="6"/>
      <c r="O398" s="6"/>
      <c r="P398" s="25"/>
      <c r="R398" s="6"/>
      <c r="AB398" s="15"/>
      <c r="AC398" s="24"/>
      <c r="AD398" s="15"/>
      <c r="AO398" s="11"/>
      <c r="AP398" s="11"/>
      <c r="AR398" s="9"/>
      <c r="AS398" s="15"/>
      <c r="AT398" s="9"/>
      <c r="AU398" s="23"/>
      <c r="AV398" s="15"/>
      <c r="AW398" s="15"/>
      <c r="AX398" s="18"/>
      <c r="BA398" s="12"/>
      <c r="BC398" s="6"/>
      <c r="BD398" s="6"/>
    </row>
    <row r="399" spans="2:56" s="5" customFormat="1" ht="15" customHeight="1">
      <c r="B399" s="6"/>
      <c r="C399" s="6"/>
      <c r="D399" s="6"/>
      <c r="E399" s="6"/>
      <c r="F399" s="6"/>
      <c r="O399" s="6"/>
      <c r="P399" s="25"/>
      <c r="R399" s="6"/>
      <c r="AB399" s="15"/>
      <c r="AC399" s="24"/>
      <c r="AD399" s="15"/>
      <c r="AO399" s="11"/>
      <c r="AP399" s="11"/>
      <c r="AR399" s="9"/>
      <c r="AS399" s="15"/>
      <c r="AT399" s="9"/>
      <c r="AU399" s="23"/>
      <c r="AV399" s="15"/>
      <c r="AW399" s="15"/>
      <c r="AX399" s="18"/>
      <c r="BA399" s="12"/>
      <c r="BC399" s="6"/>
      <c r="BD399" s="6"/>
    </row>
    <row r="400" spans="2:56" s="5" customFormat="1" ht="15" customHeight="1">
      <c r="B400" s="6"/>
      <c r="C400" s="6"/>
      <c r="D400" s="6"/>
      <c r="E400" s="6"/>
      <c r="F400" s="6"/>
      <c r="O400" s="6"/>
      <c r="P400" s="25"/>
      <c r="R400" s="6"/>
      <c r="AB400" s="15"/>
      <c r="AC400" s="24"/>
      <c r="AD400" s="15"/>
      <c r="AO400" s="11"/>
      <c r="AP400" s="11"/>
      <c r="AR400" s="9"/>
      <c r="AS400" s="15"/>
      <c r="AT400" s="9"/>
      <c r="AU400" s="23"/>
      <c r="AV400" s="15"/>
      <c r="AW400" s="15"/>
      <c r="AX400" s="18"/>
      <c r="BA400" s="12"/>
      <c r="BC400" s="6"/>
      <c r="BD400" s="6"/>
    </row>
    <row r="401" spans="2:83" s="5" customFormat="1" ht="15" customHeight="1">
      <c r="B401" s="6"/>
      <c r="C401" s="6"/>
      <c r="D401" s="6"/>
      <c r="E401" s="6"/>
      <c r="F401" s="6"/>
      <c r="O401" s="6"/>
      <c r="P401" s="25"/>
      <c r="R401" s="6"/>
      <c r="AB401" s="15"/>
      <c r="AC401" s="24"/>
      <c r="AD401" s="15"/>
      <c r="AO401" s="11"/>
      <c r="AP401" s="11"/>
      <c r="AR401" s="9"/>
      <c r="AS401" s="15"/>
      <c r="AT401" s="9"/>
      <c r="AU401" s="23"/>
      <c r="AV401" s="15"/>
      <c r="AW401" s="15"/>
      <c r="AX401" s="18"/>
      <c r="BA401" s="12"/>
      <c r="BC401" s="6"/>
      <c r="BD401" s="6"/>
    </row>
    <row r="402" spans="2:83" s="5" customFormat="1" ht="15" customHeight="1">
      <c r="B402" s="6"/>
      <c r="C402" s="6"/>
      <c r="D402" s="6"/>
      <c r="E402" s="6"/>
      <c r="F402" s="6"/>
      <c r="O402" s="6"/>
      <c r="P402" s="25"/>
      <c r="R402" s="6"/>
      <c r="AB402" s="15"/>
      <c r="AC402" s="24"/>
      <c r="AD402" s="15"/>
      <c r="AO402" s="11"/>
      <c r="AP402" s="11"/>
      <c r="AR402" s="9"/>
      <c r="AS402" s="15"/>
      <c r="AT402" s="9"/>
      <c r="AU402" s="23"/>
      <c r="AV402" s="15"/>
      <c r="AW402" s="15"/>
      <c r="AX402" s="18"/>
      <c r="BA402" s="12"/>
      <c r="BC402" s="6"/>
      <c r="BD402" s="6"/>
    </row>
    <row r="403" spans="2:83" s="5" customFormat="1" ht="15" customHeight="1">
      <c r="B403" s="6"/>
      <c r="C403" s="6"/>
      <c r="D403" s="6"/>
      <c r="E403" s="6"/>
      <c r="F403" s="6"/>
      <c r="O403" s="6"/>
      <c r="P403" s="25"/>
      <c r="R403" s="6"/>
      <c r="AB403" s="15"/>
      <c r="AC403" s="24"/>
      <c r="AD403" s="15"/>
      <c r="AO403" s="11"/>
      <c r="AP403" s="11"/>
      <c r="AR403" s="9"/>
      <c r="AS403" s="15"/>
      <c r="AT403" s="9"/>
      <c r="AU403" s="23"/>
      <c r="AV403" s="15"/>
      <c r="AW403" s="15"/>
      <c r="AX403" s="18"/>
      <c r="BA403" s="12"/>
      <c r="BC403" s="6"/>
      <c r="BD403" s="6"/>
    </row>
    <row r="404" spans="2:83" s="5" customFormat="1" ht="15" customHeight="1">
      <c r="B404" s="6"/>
      <c r="C404" s="6"/>
      <c r="D404" s="6"/>
      <c r="E404" s="6"/>
      <c r="F404" s="6"/>
      <c r="O404" s="6"/>
      <c r="P404" s="25"/>
      <c r="R404" s="6"/>
      <c r="AB404" s="15"/>
      <c r="AC404" s="24"/>
      <c r="AD404" s="15"/>
      <c r="AO404" s="11"/>
      <c r="AP404" s="11"/>
      <c r="AR404" s="9"/>
      <c r="AS404" s="15"/>
      <c r="AT404" s="9"/>
      <c r="AU404" s="23"/>
      <c r="AV404" s="15"/>
      <c r="AW404" s="15"/>
      <c r="AX404" s="18"/>
      <c r="BA404" s="12"/>
      <c r="BC404" s="6"/>
      <c r="BD404" s="6"/>
    </row>
    <row r="405" spans="2:83" s="5" customFormat="1" ht="15" customHeight="1">
      <c r="B405" s="6"/>
      <c r="C405" s="6"/>
      <c r="D405" s="6"/>
      <c r="E405" s="6"/>
      <c r="F405" s="6"/>
      <c r="O405" s="6"/>
      <c r="P405" s="25"/>
      <c r="R405" s="6"/>
      <c r="AB405" s="15"/>
      <c r="AC405" s="24"/>
      <c r="AD405" s="15"/>
      <c r="AO405" s="11"/>
      <c r="AP405" s="11"/>
      <c r="AR405" s="9"/>
      <c r="AS405" s="15"/>
      <c r="AT405" s="9"/>
      <c r="AU405" s="23"/>
      <c r="AV405" s="15"/>
      <c r="AW405" s="15"/>
      <c r="AX405" s="18"/>
      <c r="BA405" s="12"/>
      <c r="BC405" s="6"/>
      <c r="BD405" s="6"/>
    </row>
    <row r="406" spans="2:83" s="5" customFormat="1" ht="15" customHeight="1">
      <c r="B406" s="6"/>
      <c r="C406" s="6"/>
      <c r="D406" s="6"/>
      <c r="E406" s="6"/>
      <c r="F406" s="6"/>
      <c r="O406" s="6"/>
      <c r="P406" s="25"/>
      <c r="R406" s="6"/>
      <c r="AB406" s="15"/>
      <c r="AC406" s="24"/>
      <c r="AD406" s="15"/>
      <c r="AO406" s="11"/>
      <c r="AP406" s="11"/>
      <c r="AR406" s="9"/>
      <c r="AS406" s="15"/>
      <c r="AT406" s="9"/>
      <c r="AU406" s="23"/>
      <c r="AV406" s="15"/>
      <c r="AW406" s="15"/>
      <c r="AX406" s="18"/>
      <c r="BA406" s="12"/>
      <c r="BC406" s="6"/>
      <c r="BD406" s="6"/>
    </row>
    <row r="407" spans="2:83" s="5" customFormat="1" ht="15" customHeight="1">
      <c r="B407" s="6"/>
      <c r="C407" s="6"/>
      <c r="D407" s="6"/>
      <c r="E407" s="6"/>
      <c r="F407" s="6"/>
      <c r="O407" s="6"/>
      <c r="P407" s="25"/>
      <c r="R407" s="6"/>
      <c r="AB407" s="15"/>
      <c r="AC407" s="24"/>
      <c r="AD407" s="15"/>
      <c r="AO407" s="11"/>
      <c r="AP407" s="11"/>
      <c r="AR407" s="9"/>
      <c r="AS407" s="15"/>
      <c r="AT407" s="9"/>
      <c r="AU407" s="23"/>
      <c r="AV407" s="15"/>
      <c r="AW407" s="15"/>
      <c r="AX407" s="18"/>
      <c r="BA407" s="12"/>
      <c r="BC407" s="6"/>
      <c r="BD407" s="6"/>
    </row>
    <row r="408" spans="2:83" s="5" customFormat="1" ht="15" customHeight="1">
      <c r="B408" s="6"/>
      <c r="C408" s="6"/>
      <c r="D408" s="6"/>
      <c r="E408" s="6"/>
      <c r="F408" s="6"/>
      <c r="O408" s="6"/>
      <c r="P408" s="25"/>
      <c r="R408" s="6"/>
      <c r="AB408" s="15"/>
      <c r="AC408" s="24"/>
      <c r="AD408" s="15"/>
      <c r="AO408" s="11"/>
      <c r="AP408" s="11"/>
      <c r="AR408" s="9"/>
      <c r="AS408" s="15"/>
      <c r="AT408" s="9"/>
      <c r="AU408" s="23"/>
      <c r="AV408" s="15"/>
      <c r="AW408" s="15"/>
      <c r="AX408" s="18"/>
      <c r="BA408" s="12"/>
      <c r="BC408" s="6"/>
      <c r="BD408" s="6"/>
    </row>
    <row r="409" spans="2:83" s="5" customFormat="1" ht="15" customHeight="1">
      <c r="B409" s="6"/>
      <c r="C409" s="6"/>
      <c r="D409" s="6"/>
      <c r="E409" s="6"/>
      <c r="F409" s="6"/>
      <c r="O409" s="6"/>
      <c r="P409" s="25"/>
      <c r="R409" s="6"/>
      <c r="AB409" s="15"/>
      <c r="AC409" s="24"/>
      <c r="AD409" s="15"/>
      <c r="AO409" s="11"/>
      <c r="AP409" s="11"/>
      <c r="AR409" s="9"/>
      <c r="AS409" s="15"/>
      <c r="AT409" s="9"/>
      <c r="AU409" s="23"/>
      <c r="AV409" s="15"/>
      <c r="AW409" s="15"/>
      <c r="AX409" s="18"/>
      <c r="BA409" s="12"/>
      <c r="BC409" s="6"/>
      <c r="BD409" s="6"/>
    </row>
    <row r="410" spans="2:83" s="5" customFormat="1" ht="15" customHeight="1">
      <c r="B410" s="6"/>
      <c r="C410" s="6"/>
      <c r="D410" s="6"/>
      <c r="E410" s="6"/>
      <c r="F410" s="6"/>
      <c r="O410" s="6"/>
      <c r="P410" s="25"/>
      <c r="R410" s="6"/>
      <c r="AB410" s="15"/>
      <c r="AC410" s="24"/>
      <c r="AD410" s="15"/>
      <c r="AO410" s="11"/>
      <c r="AP410" s="11"/>
      <c r="AR410" s="9"/>
      <c r="AS410" s="15"/>
      <c r="AT410" s="9"/>
      <c r="AU410" s="23"/>
      <c r="AV410" s="15"/>
      <c r="AW410" s="15"/>
      <c r="AX410" s="18"/>
      <c r="BA410" s="12"/>
      <c r="BC410" s="6"/>
      <c r="BD410" s="6"/>
    </row>
    <row r="411" spans="2:83" s="5" customFormat="1" ht="15" customHeight="1">
      <c r="B411" s="6"/>
      <c r="C411" s="6"/>
      <c r="D411" s="6"/>
      <c r="E411" s="6"/>
      <c r="F411" s="6"/>
      <c r="O411" s="6"/>
      <c r="P411" s="25"/>
      <c r="R411" s="6"/>
      <c r="AB411" s="15"/>
      <c r="AC411" s="24"/>
      <c r="AD411" s="15"/>
      <c r="AO411" s="11"/>
      <c r="AP411" s="11"/>
      <c r="AR411" s="9"/>
      <c r="AS411" s="15"/>
      <c r="AT411" s="9"/>
      <c r="AU411" s="23"/>
      <c r="AV411" s="15"/>
      <c r="AW411" s="15"/>
      <c r="AX411" s="18"/>
      <c r="BA411" s="12"/>
      <c r="BC411" s="6"/>
      <c r="BD411" s="6"/>
    </row>
    <row r="412" spans="2:83" s="5" customFormat="1" ht="15" customHeight="1">
      <c r="B412" s="6"/>
      <c r="C412" s="6"/>
      <c r="D412" s="6"/>
      <c r="E412" s="6"/>
      <c r="F412" s="6"/>
      <c r="O412" s="6"/>
      <c r="P412" s="25"/>
      <c r="R412" s="6"/>
      <c r="AB412" s="15"/>
      <c r="AC412" s="24"/>
      <c r="AD412" s="15"/>
      <c r="AO412" s="11"/>
      <c r="AP412" s="11"/>
      <c r="AR412" s="9"/>
      <c r="AS412" s="15"/>
      <c r="AT412" s="9"/>
      <c r="AU412" s="23"/>
      <c r="AV412" s="15"/>
      <c r="AW412" s="15"/>
      <c r="AX412" s="18"/>
      <c r="BA412" s="12"/>
      <c r="BC412" s="6"/>
      <c r="BD412" s="6"/>
    </row>
    <row r="413" spans="2:83" s="5" customFormat="1" ht="15" customHeight="1">
      <c r="B413" s="6"/>
      <c r="C413" s="6"/>
      <c r="D413" s="6"/>
      <c r="E413" s="6"/>
      <c r="F413" s="6"/>
      <c r="O413" s="6"/>
      <c r="P413" s="25"/>
      <c r="R413" s="6"/>
      <c r="AB413" s="15"/>
      <c r="AC413" s="24"/>
      <c r="AD413" s="15"/>
      <c r="AO413" s="11"/>
      <c r="AP413" s="11"/>
      <c r="AR413" s="9"/>
      <c r="AS413" s="15"/>
      <c r="AT413" s="9"/>
      <c r="AU413" s="23"/>
      <c r="AV413" s="15"/>
      <c r="AW413" s="15"/>
      <c r="AX413" s="18"/>
      <c r="BA413" s="12"/>
      <c r="BC413" s="6"/>
      <c r="BD413" s="6"/>
    </row>
    <row r="414" spans="2:83" s="5" customFormat="1" ht="15" customHeight="1">
      <c r="B414" s="6"/>
      <c r="C414" s="6"/>
      <c r="D414" s="6"/>
      <c r="E414" s="6"/>
      <c r="F414" s="6"/>
      <c r="O414" s="6"/>
      <c r="P414" s="25"/>
      <c r="R414" s="6"/>
      <c r="AB414" s="15"/>
      <c r="AC414" s="24"/>
      <c r="AD414" s="15"/>
      <c r="AO414" s="11"/>
      <c r="AP414" s="11"/>
      <c r="AR414" s="9"/>
      <c r="AS414" s="15"/>
      <c r="AT414" s="9"/>
      <c r="AU414" s="23"/>
      <c r="AV414" s="15"/>
      <c r="AW414" s="15"/>
      <c r="AX414" s="18"/>
      <c r="BA414" s="12"/>
      <c r="BC414" s="6"/>
      <c r="BD414" s="6"/>
    </row>
    <row r="415" spans="2:83" ht="15" customHeight="1"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</row>
    <row r="416" spans="2:83" ht="15" customHeight="1"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</row>
    <row r="417" spans="57:83" ht="15" customHeight="1"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</row>
    <row r="418" spans="57:83" ht="15" customHeight="1"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</row>
    <row r="419" spans="57:83" ht="15" customHeight="1"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</row>
  </sheetData>
  <autoFilter ref="D3:F31"/>
  <mergeCells count="166">
    <mergeCell ref="B29:B30"/>
    <mergeCell ref="C29:C30"/>
    <mergeCell ref="D29:D30"/>
    <mergeCell ref="E29:E30"/>
    <mergeCell ref="F29:F30"/>
    <mergeCell ref="F23:F24"/>
    <mergeCell ref="E23:E24"/>
    <mergeCell ref="D23:D24"/>
    <mergeCell ref="C23:C24"/>
    <mergeCell ref="B23:B24"/>
    <mergeCell ref="F19:F20"/>
    <mergeCell ref="E19:E20"/>
    <mergeCell ref="D19:D20"/>
    <mergeCell ref="C19:C20"/>
    <mergeCell ref="B19:B20"/>
    <mergeCell ref="F21:F22"/>
    <mergeCell ref="E21:E22"/>
    <mergeCell ref="D21:D22"/>
    <mergeCell ref="C21:C22"/>
    <mergeCell ref="B21:B22"/>
    <mergeCell ref="D13:D14"/>
    <mergeCell ref="C13:C14"/>
    <mergeCell ref="B13:B14"/>
    <mergeCell ref="F15:F16"/>
    <mergeCell ref="E15:E16"/>
    <mergeCell ref="D15:D16"/>
    <mergeCell ref="C15:C16"/>
    <mergeCell ref="B15:B16"/>
    <mergeCell ref="F17:F18"/>
    <mergeCell ref="E17:E18"/>
    <mergeCell ref="D17:D18"/>
    <mergeCell ref="C17:C18"/>
    <mergeCell ref="B17:B18"/>
    <mergeCell ref="O2:P2"/>
    <mergeCell ref="K2:L2"/>
    <mergeCell ref="N5:N6"/>
    <mergeCell ref="N3:N4"/>
    <mergeCell ref="B200:F200"/>
    <mergeCell ref="M5:M6"/>
    <mergeCell ref="B31:C31"/>
    <mergeCell ref="B3:B6"/>
    <mergeCell ref="C3:C6"/>
    <mergeCell ref="D3:D6"/>
    <mergeCell ref="E3:E6"/>
    <mergeCell ref="F3:F6"/>
    <mergeCell ref="G5:G6"/>
    <mergeCell ref="K3:L3"/>
    <mergeCell ref="K4:L4"/>
    <mergeCell ref="I3:J3"/>
    <mergeCell ref="I4:J4"/>
    <mergeCell ref="J5:J6"/>
    <mergeCell ref="E7:E8"/>
    <mergeCell ref="D7:D8"/>
    <mergeCell ref="C7:C8"/>
    <mergeCell ref="B7:B8"/>
    <mergeCell ref="F7:F8"/>
    <mergeCell ref="F9:F10"/>
    <mergeCell ref="T3:T4"/>
    <mergeCell ref="T5:T6"/>
    <mergeCell ref="Q4:Q6"/>
    <mergeCell ref="R4:R6"/>
    <mergeCell ref="S3:S4"/>
    <mergeCell ref="S5:S6"/>
    <mergeCell ref="G3:H3"/>
    <mergeCell ref="G4:H4"/>
    <mergeCell ref="H5:H6"/>
    <mergeCell ref="O3:P3"/>
    <mergeCell ref="O4:P4"/>
    <mergeCell ref="O5:O6"/>
    <mergeCell ref="P5:P6"/>
    <mergeCell ref="K5:K6"/>
    <mergeCell ref="L5:L6"/>
    <mergeCell ref="I5:I6"/>
    <mergeCell ref="BD3:BD6"/>
    <mergeCell ref="AI3:AI4"/>
    <mergeCell ref="AG5:AG6"/>
    <mergeCell ref="BB3:BB6"/>
    <mergeCell ref="AI5:AI6"/>
    <mergeCell ref="AQ3:AQ4"/>
    <mergeCell ref="AT3:AT4"/>
    <mergeCell ref="AJ5:AJ6"/>
    <mergeCell ref="AQ5:AQ6"/>
    <mergeCell ref="AY3:AY4"/>
    <mergeCell ref="AY5:AY6"/>
    <mergeCell ref="BC3:BC6"/>
    <mergeCell ref="BA5:BA6"/>
    <mergeCell ref="BA3:BA4"/>
    <mergeCell ref="AG4:AH4"/>
    <mergeCell ref="AH5:AH6"/>
    <mergeCell ref="AP3:AP4"/>
    <mergeCell ref="AP5:AP6"/>
    <mergeCell ref="AG3:AH3"/>
    <mergeCell ref="AU3:AU4"/>
    <mergeCell ref="AU5:AU6"/>
    <mergeCell ref="AR3:AR4"/>
    <mergeCell ref="AR5:AR6"/>
    <mergeCell ref="AZ3:AZ4"/>
    <mergeCell ref="AN5:AN6"/>
    <mergeCell ref="X5:X6"/>
    <mergeCell ref="X3:Y3"/>
    <mergeCell ref="X4:Y4"/>
    <mergeCell ref="U3:V3"/>
    <mergeCell ref="U4:V4"/>
    <mergeCell ref="AL3:AM3"/>
    <mergeCell ref="AL4:AM4"/>
    <mergeCell ref="AL5:AL6"/>
    <mergeCell ref="AB3:AB4"/>
    <mergeCell ref="AB5:AB6"/>
    <mergeCell ref="AJ3:AK3"/>
    <mergeCell ref="AJ4:AK4"/>
    <mergeCell ref="AK5:AK6"/>
    <mergeCell ref="Z3:AA3"/>
    <mergeCell ref="Z4:AA4"/>
    <mergeCell ref="AA5:AA6"/>
    <mergeCell ref="AE3:AE4"/>
    <mergeCell ref="V5:V6"/>
    <mergeCell ref="U5:U6"/>
    <mergeCell ref="Y5:Y6"/>
    <mergeCell ref="AZ5:AZ6"/>
    <mergeCell ref="AW3:AX3"/>
    <mergeCell ref="AW4:AX4"/>
    <mergeCell ref="AX5:AX6"/>
    <mergeCell ref="AE5:AE6"/>
    <mergeCell ref="W3:W4"/>
    <mergeCell ref="W5:W6"/>
    <mergeCell ref="Z5:Z6"/>
    <mergeCell ref="AF3:AF4"/>
    <mergeCell ref="AF5:AF6"/>
    <mergeCell ref="AO3:AO4"/>
    <mergeCell ref="AO5:AO6"/>
    <mergeCell ref="AM5:AM6"/>
    <mergeCell ref="AS3:AS4"/>
    <mergeCell ref="AS5:AS6"/>
    <mergeCell ref="AD3:AD4"/>
    <mergeCell ref="AD5:AD6"/>
    <mergeCell ref="AW5:AW6"/>
    <mergeCell ref="AV3:AV4"/>
    <mergeCell ref="AV5:AV6"/>
    <mergeCell ref="AT5:AT6"/>
    <mergeCell ref="AC3:AC4"/>
    <mergeCell ref="AC5:AC6"/>
    <mergeCell ref="AN3:AN4"/>
    <mergeCell ref="G2:H2"/>
    <mergeCell ref="I2:J2"/>
    <mergeCell ref="F25:F26"/>
    <mergeCell ref="E25:E26"/>
    <mergeCell ref="D25:D26"/>
    <mergeCell ref="C25:C26"/>
    <mergeCell ref="B25:B26"/>
    <mergeCell ref="F27:F28"/>
    <mergeCell ref="E27:E28"/>
    <mergeCell ref="D27:D28"/>
    <mergeCell ref="C27:C28"/>
    <mergeCell ref="B27:B28"/>
    <mergeCell ref="D2:F2"/>
    <mergeCell ref="E9:E10"/>
    <mergeCell ref="D9:D10"/>
    <mergeCell ref="B9:B10"/>
    <mergeCell ref="C9:C10"/>
    <mergeCell ref="F11:F12"/>
    <mergeCell ref="E11:E12"/>
    <mergeCell ref="D11:D12"/>
    <mergeCell ref="C11:C12"/>
    <mergeCell ref="B11:B12"/>
    <mergeCell ref="F13:F14"/>
    <mergeCell ref="E13:E14"/>
  </mergeCells>
  <pageMargins left="0.39370078740157483" right="1.2204724409448819" top="0.59055118110236227" bottom="0.39370078740157483" header="0.31496062992125984" footer="0.31496062992125984"/>
  <pageSetup paperSize="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F433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C21" sqref="C21:C22"/>
    </sheetView>
  </sheetViews>
  <sheetFormatPr defaultRowHeight="15"/>
  <cols>
    <col min="1" max="1" width="5" style="5" customWidth="1"/>
    <col min="2" max="2" width="15" style="5" customWidth="1"/>
    <col min="3" max="3" width="22.7109375" style="5" customWidth="1"/>
    <col min="4" max="4" width="6" style="5" customWidth="1"/>
    <col min="5" max="5" width="7.5703125" style="5" customWidth="1"/>
    <col min="6" max="6" width="5.28515625" style="5" customWidth="1"/>
    <col min="7" max="7" width="10.5703125" style="5" customWidth="1"/>
    <col min="8" max="8" width="11.140625" style="5" customWidth="1"/>
    <col min="9" max="10" width="11.7109375" style="5" customWidth="1"/>
    <col min="11" max="12" width="10.42578125" style="5" customWidth="1"/>
    <col min="13" max="14" width="11.7109375" style="5" customWidth="1"/>
    <col min="15" max="34" width="9" style="5" customWidth="1"/>
    <col min="35" max="35" width="9.7109375" style="5" customWidth="1"/>
    <col min="36" max="44" width="9" style="5" customWidth="1"/>
    <col min="45" max="45" width="11.5703125" style="5" customWidth="1"/>
    <col min="46" max="55" width="9" style="5" customWidth="1"/>
    <col min="56" max="56" width="20.85546875" style="5" customWidth="1"/>
    <col min="57" max="57" width="7" style="5" customWidth="1"/>
    <col min="58" max="58" width="15" style="5" customWidth="1"/>
    <col min="59" max="59" width="8.7109375" style="5" customWidth="1"/>
    <col min="60" max="16384" width="9.140625" style="5"/>
  </cols>
  <sheetData>
    <row r="1" spans="2:57" ht="15" customHeight="1" thickBot="1">
      <c r="G1" s="28"/>
      <c r="W1" s="16"/>
      <c r="X1" s="16"/>
      <c r="Y1" s="16"/>
      <c r="Z1" s="14"/>
      <c r="AA1" s="14"/>
      <c r="AB1" s="14"/>
      <c r="AC1" s="14"/>
      <c r="AD1" s="14"/>
      <c r="AE1" s="14"/>
    </row>
    <row r="2" spans="2:57" ht="15" customHeight="1" thickBot="1">
      <c r="B2" s="1"/>
      <c r="C2" s="3"/>
      <c r="D2" s="49" t="s">
        <v>0</v>
      </c>
      <c r="E2" s="50"/>
      <c r="F2" s="51"/>
      <c r="G2" s="29"/>
      <c r="H2" s="30"/>
      <c r="I2" s="30"/>
      <c r="J2" s="30"/>
      <c r="K2" s="97"/>
      <c r="L2" s="97"/>
      <c r="M2" s="31"/>
      <c r="N2" s="31"/>
      <c r="O2" s="97"/>
      <c r="P2" s="97"/>
      <c r="Q2" s="31"/>
      <c r="R2" s="3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3"/>
      <c r="BC2" s="3"/>
      <c r="BD2" s="3"/>
    </row>
    <row r="3" spans="2:57" ht="15" customHeight="1" thickBot="1">
      <c r="B3" s="64" t="s">
        <v>1</v>
      </c>
      <c r="C3" s="64" t="s">
        <v>2</v>
      </c>
      <c r="D3" s="87" t="s">
        <v>3</v>
      </c>
      <c r="E3" s="64" t="s">
        <v>4</v>
      </c>
      <c r="F3" s="87" t="s">
        <v>5</v>
      </c>
      <c r="G3" s="64" t="s">
        <v>6</v>
      </c>
      <c r="H3" s="64"/>
      <c r="I3" s="64" t="s">
        <v>7</v>
      </c>
      <c r="J3" s="64"/>
      <c r="K3" s="64" t="s">
        <v>8</v>
      </c>
      <c r="L3" s="64"/>
      <c r="M3" s="4" t="s">
        <v>9</v>
      </c>
      <c r="N3" s="64" t="s">
        <v>10</v>
      </c>
      <c r="O3" s="58" t="s">
        <v>11</v>
      </c>
      <c r="P3" s="59"/>
      <c r="Q3" s="4" t="s">
        <v>12</v>
      </c>
      <c r="R3" s="4" t="s">
        <v>13</v>
      </c>
      <c r="S3" s="64" t="s">
        <v>32</v>
      </c>
      <c r="T3" s="64" t="s">
        <v>33</v>
      </c>
      <c r="U3" s="58" t="s">
        <v>22</v>
      </c>
      <c r="V3" s="59"/>
      <c r="W3" s="64" t="s">
        <v>23</v>
      </c>
      <c r="X3" s="58" t="s">
        <v>48</v>
      </c>
      <c r="Y3" s="59"/>
      <c r="Z3" s="58" t="s">
        <v>24</v>
      </c>
      <c r="AA3" s="59"/>
      <c r="AB3" s="64" t="s">
        <v>62</v>
      </c>
      <c r="AC3" s="64" t="s">
        <v>51</v>
      </c>
      <c r="AD3" s="64" t="s">
        <v>47</v>
      </c>
      <c r="AE3" s="64" t="s">
        <v>34</v>
      </c>
      <c r="AF3" s="64" t="s">
        <v>57</v>
      </c>
      <c r="AG3" s="58" t="s">
        <v>26</v>
      </c>
      <c r="AH3" s="59"/>
      <c r="AI3" s="64" t="s">
        <v>27</v>
      </c>
      <c r="AJ3" s="58" t="s">
        <v>28</v>
      </c>
      <c r="AK3" s="59"/>
      <c r="AL3" s="58" t="s">
        <v>44</v>
      </c>
      <c r="AM3" s="59"/>
      <c r="AN3" s="64" t="s">
        <v>52</v>
      </c>
      <c r="AO3" s="64" t="s">
        <v>29</v>
      </c>
      <c r="AP3" s="64" t="s">
        <v>61</v>
      </c>
      <c r="AQ3" s="64" t="s">
        <v>35</v>
      </c>
      <c r="AR3" s="64" t="s">
        <v>75</v>
      </c>
      <c r="AS3" s="64" t="s">
        <v>45</v>
      </c>
      <c r="AT3" s="64" t="s">
        <v>60</v>
      </c>
      <c r="AU3" s="64" t="s">
        <v>50</v>
      </c>
      <c r="AV3" s="64" t="s">
        <v>58</v>
      </c>
      <c r="AW3" s="58" t="s">
        <v>46</v>
      </c>
      <c r="AX3" s="59"/>
      <c r="AY3" s="64" t="s">
        <v>36</v>
      </c>
      <c r="AZ3" s="64" t="s">
        <v>49</v>
      </c>
      <c r="BA3" s="64" t="s">
        <v>42</v>
      </c>
      <c r="BB3" s="64" t="s">
        <v>20</v>
      </c>
      <c r="BC3" s="64" t="s">
        <v>21</v>
      </c>
      <c r="BD3" s="64" t="s">
        <v>31</v>
      </c>
    </row>
    <row r="4" spans="2:57" ht="14.25" customHeight="1" thickTop="1" thickBot="1">
      <c r="B4" s="65"/>
      <c r="C4" s="65"/>
      <c r="D4" s="88"/>
      <c r="E4" s="65"/>
      <c r="F4" s="88"/>
      <c r="G4" s="75" t="s">
        <v>14</v>
      </c>
      <c r="H4" s="76"/>
      <c r="I4" s="75" t="s">
        <v>15</v>
      </c>
      <c r="J4" s="76"/>
      <c r="K4" s="75" t="s">
        <v>16</v>
      </c>
      <c r="L4" s="76"/>
      <c r="M4" s="8" t="s">
        <v>17</v>
      </c>
      <c r="N4" s="99"/>
      <c r="O4" s="77" t="s">
        <v>37</v>
      </c>
      <c r="P4" s="78"/>
      <c r="Q4" s="73" t="s">
        <v>38</v>
      </c>
      <c r="R4" s="73" t="s">
        <v>13</v>
      </c>
      <c r="S4" s="65"/>
      <c r="T4" s="65"/>
      <c r="U4" s="70" t="s">
        <v>41</v>
      </c>
      <c r="V4" s="71"/>
      <c r="W4" s="65"/>
      <c r="X4" s="60" t="s">
        <v>25</v>
      </c>
      <c r="Y4" s="61"/>
      <c r="Z4" s="60" t="s">
        <v>25</v>
      </c>
      <c r="AA4" s="61"/>
      <c r="AB4" s="65"/>
      <c r="AC4" s="65"/>
      <c r="AD4" s="65"/>
      <c r="AE4" s="65"/>
      <c r="AF4" s="65"/>
      <c r="AG4" s="60" t="s">
        <v>25</v>
      </c>
      <c r="AH4" s="61"/>
      <c r="AI4" s="65"/>
      <c r="AJ4" s="60" t="s">
        <v>25</v>
      </c>
      <c r="AK4" s="61"/>
      <c r="AL4" s="60" t="s">
        <v>25</v>
      </c>
      <c r="AM4" s="61"/>
      <c r="AN4" s="65"/>
      <c r="AO4" s="65"/>
      <c r="AP4" s="65"/>
      <c r="AQ4" s="65"/>
      <c r="AR4" s="65"/>
      <c r="AS4" s="65"/>
      <c r="AT4" s="65"/>
      <c r="AU4" s="65"/>
      <c r="AV4" s="65"/>
      <c r="AW4" s="60" t="s">
        <v>25</v>
      </c>
      <c r="AX4" s="61"/>
      <c r="AY4" s="65"/>
      <c r="AZ4" s="65"/>
      <c r="BA4" s="65"/>
      <c r="BB4" s="65"/>
      <c r="BC4" s="65"/>
      <c r="BD4" s="65"/>
    </row>
    <row r="5" spans="2:57" ht="14.25" customHeight="1" thickTop="1">
      <c r="B5" s="65"/>
      <c r="C5" s="65"/>
      <c r="D5" s="88"/>
      <c r="E5" s="65"/>
      <c r="F5" s="88"/>
      <c r="G5" s="79" t="s">
        <v>53</v>
      </c>
      <c r="H5" s="66" t="s">
        <v>54</v>
      </c>
      <c r="I5" s="79" t="s">
        <v>53</v>
      </c>
      <c r="J5" s="66" t="s">
        <v>54</v>
      </c>
      <c r="K5" s="79" t="s">
        <v>53</v>
      </c>
      <c r="L5" s="66" t="s">
        <v>54</v>
      </c>
      <c r="M5" s="73" t="s">
        <v>18</v>
      </c>
      <c r="N5" s="81" t="s">
        <v>19</v>
      </c>
      <c r="O5" s="66" t="s">
        <v>53</v>
      </c>
      <c r="P5" s="66" t="s">
        <v>55</v>
      </c>
      <c r="Q5" s="73"/>
      <c r="R5" s="73"/>
      <c r="S5" s="68" t="s">
        <v>66</v>
      </c>
      <c r="T5" s="68" t="s">
        <v>43</v>
      </c>
      <c r="U5" s="66" t="s">
        <v>53</v>
      </c>
      <c r="V5" s="66" t="s">
        <v>55</v>
      </c>
      <c r="W5" s="56" t="s">
        <v>25</v>
      </c>
      <c r="X5" s="66" t="s">
        <v>53</v>
      </c>
      <c r="Y5" s="66" t="s">
        <v>55</v>
      </c>
      <c r="Z5" s="66" t="s">
        <v>53</v>
      </c>
      <c r="AA5" s="66" t="s">
        <v>55</v>
      </c>
      <c r="AB5" s="68" t="s">
        <v>70</v>
      </c>
      <c r="AC5" s="56" t="s">
        <v>25</v>
      </c>
      <c r="AD5" s="68" t="s">
        <v>71</v>
      </c>
      <c r="AE5" s="56" t="s">
        <v>25</v>
      </c>
      <c r="AF5" s="68" t="s">
        <v>67</v>
      </c>
      <c r="AG5" s="62" t="s">
        <v>53</v>
      </c>
      <c r="AH5" s="62" t="s">
        <v>55</v>
      </c>
      <c r="AI5" s="68" t="s">
        <v>39</v>
      </c>
      <c r="AJ5" s="62" t="s">
        <v>53</v>
      </c>
      <c r="AK5" s="62" t="s">
        <v>55</v>
      </c>
      <c r="AL5" s="62" t="s">
        <v>53</v>
      </c>
      <c r="AM5" s="62" t="s">
        <v>55</v>
      </c>
      <c r="AN5" s="68" t="s">
        <v>68</v>
      </c>
      <c r="AO5" s="56" t="s">
        <v>25</v>
      </c>
      <c r="AP5" s="68" t="s">
        <v>64</v>
      </c>
      <c r="AQ5" s="68" t="s">
        <v>40</v>
      </c>
      <c r="AR5" s="56" t="s">
        <v>25</v>
      </c>
      <c r="AS5" s="68" t="s">
        <v>65</v>
      </c>
      <c r="AT5" s="56" t="s">
        <v>25</v>
      </c>
      <c r="AU5" s="68" t="s">
        <v>63</v>
      </c>
      <c r="AV5" s="68" t="s">
        <v>69</v>
      </c>
      <c r="AW5" s="62" t="s">
        <v>53</v>
      </c>
      <c r="AX5" s="62" t="s">
        <v>55</v>
      </c>
      <c r="AY5" s="56" t="s">
        <v>25</v>
      </c>
      <c r="AZ5" s="56" t="s">
        <v>25</v>
      </c>
      <c r="BA5" s="56" t="s">
        <v>25</v>
      </c>
      <c r="BB5" s="65"/>
      <c r="BC5" s="65"/>
      <c r="BD5" s="65"/>
    </row>
    <row r="6" spans="2:57" ht="15.75" customHeight="1" thickBot="1">
      <c r="B6" s="72"/>
      <c r="C6" s="72"/>
      <c r="D6" s="89"/>
      <c r="E6" s="72"/>
      <c r="F6" s="89"/>
      <c r="G6" s="67"/>
      <c r="H6" s="67"/>
      <c r="I6" s="67"/>
      <c r="J6" s="67"/>
      <c r="K6" s="67"/>
      <c r="L6" s="67"/>
      <c r="M6" s="74"/>
      <c r="N6" s="98"/>
      <c r="O6" s="67"/>
      <c r="P6" s="67"/>
      <c r="Q6" s="74"/>
      <c r="R6" s="74"/>
      <c r="S6" s="69"/>
      <c r="T6" s="69"/>
      <c r="U6" s="67"/>
      <c r="V6" s="67"/>
      <c r="W6" s="57"/>
      <c r="X6" s="67"/>
      <c r="Y6" s="67"/>
      <c r="Z6" s="67"/>
      <c r="AA6" s="67"/>
      <c r="AB6" s="69"/>
      <c r="AC6" s="57"/>
      <c r="AD6" s="69"/>
      <c r="AE6" s="57"/>
      <c r="AF6" s="69"/>
      <c r="AG6" s="63"/>
      <c r="AH6" s="63"/>
      <c r="AI6" s="69"/>
      <c r="AJ6" s="63"/>
      <c r="AK6" s="63"/>
      <c r="AL6" s="63"/>
      <c r="AM6" s="63"/>
      <c r="AN6" s="69"/>
      <c r="AO6" s="57"/>
      <c r="AP6" s="69"/>
      <c r="AQ6" s="69"/>
      <c r="AR6" s="57"/>
      <c r="AS6" s="69"/>
      <c r="AT6" s="57"/>
      <c r="AU6" s="69"/>
      <c r="AV6" s="69"/>
      <c r="AW6" s="63"/>
      <c r="AX6" s="63"/>
      <c r="AY6" s="57"/>
      <c r="AZ6" s="57"/>
      <c r="BA6" s="57"/>
      <c r="BB6" s="72"/>
      <c r="BC6" s="72"/>
      <c r="BD6" s="72"/>
    </row>
    <row r="7" spans="2:57" ht="15" customHeight="1">
      <c r="B7" s="91" t="s">
        <v>92</v>
      </c>
      <c r="C7" s="90" t="s">
        <v>96</v>
      </c>
      <c r="D7" s="90">
        <v>2019</v>
      </c>
      <c r="E7" s="90" t="s">
        <v>93</v>
      </c>
      <c r="F7" s="95">
        <v>1</v>
      </c>
      <c r="G7" s="19">
        <f>3801</f>
        <v>3801</v>
      </c>
      <c r="H7" s="19">
        <f>579.5</f>
        <v>579.5</v>
      </c>
      <c r="I7" s="19">
        <f>1080</f>
        <v>1080</v>
      </c>
      <c r="J7" s="19">
        <f>333</f>
        <v>333</v>
      </c>
      <c r="K7" s="19">
        <f>1315.5</f>
        <v>1315.5</v>
      </c>
      <c r="L7" s="19">
        <f>45.5</f>
        <v>45.5</v>
      </c>
      <c r="M7" s="19">
        <f>389.5</f>
        <v>389.5</v>
      </c>
      <c r="N7" s="19">
        <f>173</f>
        <v>173</v>
      </c>
      <c r="O7" s="19">
        <f>676</f>
        <v>676</v>
      </c>
      <c r="P7" s="19">
        <f>730.5</f>
        <v>730.5</v>
      </c>
      <c r="Q7" s="19">
        <f>49</f>
        <v>49</v>
      </c>
      <c r="R7" s="19"/>
      <c r="S7" s="19">
        <f>35</f>
        <v>35</v>
      </c>
      <c r="T7" s="19">
        <f>319.5</f>
        <v>319.5</v>
      </c>
      <c r="U7" s="19">
        <f>673</f>
        <v>673</v>
      </c>
      <c r="V7" s="19">
        <f>343</f>
        <v>343</v>
      </c>
      <c r="W7" s="19">
        <f>27.5</f>
        <v>27.5</v>
      </c>
      <c r="X7" s="19">
        <f>6564.5</f>
        <v>6564.5</v>
      </c>
      <c r="Y7" s="19">
        <f>742.5</f>
        <v>742.5</v>
      </c>
      <c r="Z7" s="19">
        <f>16.5</f>
        <v>16.5</v>
      </c>
      <c r="AA7" s="19">
        <f>472.5</f>
        <v>472.5</v>
      </c>
      <c r="AB7" s="19"/>
      <c r="AC7" s="19">
        <f>3</f>
        <v>3</v>
      </c>
      <c r="AD7" s="19">
        <f>246.5</f>
        <v>246.5</v>
      </c>
      <c r="AE7" s="19">
        <f>15.5</f>
        <v>15.5</v>
      </c>
      <c r="AF7" s="19"/>
      <c r="AG7" s="19">
        <f>2009</f>
        <v>2009</v>
      </c>
      <c r="AH7" s="19">
        <f>34</f>
        <v>34</v>
      </c>
      <c r="AI7" s="19">
        <f>27</f>
        <v>27</v>
      </c>
      <c r="AJ7" s="19"/>
      <c r="AK7" s="19"/>
      <c r="AL7" s="19">
        <f>320</f>
        <v>320</v>
      </c>
      <c r="AM7" s="19"/>
      <c r="AN7" s="19"/>
      <c r="AO7" s="19">
        <f>25</f>
        <v>25</v>
      </c>
      <c r="AP7" s="19"/>
      <c r="AQ7" s="19">
        <f>434.5</f>
        <v>434.5</v>
      </c>
      <c r="AR7" s="19"/>
      <c r="AS7" s="19">
        <f>6.5</f>
        <v>6.5</v>
      </c>
      <c r="AT7" s="19"/>
      <c r="AU7" s="19"/>
      <c r="AV7" s="19">
        <f>39</f>
        <v>39</v>
      </c>
      <c r="AW7" s="19">
        <f>124.5</f>
        <v>124.5</v>
      </c>
      <c r="AX7" s="19">
        <f>4957.5</f>
        <v>4957.5</v>
      </c>
      <c r="AY7" s="19">
        <f>575</f>
        <v>575</v>
      </c>
      <c r="AZ7" s="19"/>
      <c r="BA7" s="19"/>
      <c r="BB7" s="19">
        <f>78.5</f>
        <v>78.5</v>
      </c>
      <c r="BC7" s="19">
        <f>66</f>
        <v>66</v>
      </c>
      <c r="BD7" s="19">
        <f t="shared" ref="BD7:BD45" si="0">SUM(G7:BC7)</f>
        <v>27328</v>
      </c>
      <c r="BE7" s="10"/>
    </row>
    <row r="8" spans="2:57" ht="15" customHeight="1">
      <c r="B8" s="48"/>
      <c r="C8" s="53"/>
      <c r="D8" s="53"/>
      <c r="E8" s="53"/>
      <c r="F8" s="96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20"/>
      <c r="BB8" s="19"/>
      <c r="BC8" s="19"/>
      <c r="BD8" s="19">
        <f t="shared" si="0"/>
        <v>0</v>
      </c>
      <c r="BE8" s="10"/>
    </row>
    <row r="9" spans="2:57" ht="15" customHeight="1">
      <c r="B9" s="47" t="s">
        <v>94</v>
      </c>
      <c r="C9" s="52" t="s">
        <v>91</v>
      </c>
      <c r="D9" s="52">
        <v>2019</v>
      </c>
      <c r="E9" s="52" t="s">
        <v>93</v>
      </c>
      <c r="F9" s="54">
        <v>1</v>
      </c>
      <c r="G9" s="20">
        <f>1050.5</f>
        <v>1050.5</v>
      </c>
      <c r="H9" s="20">
        <f>137.5</f>
        <v>137.5</v>
      </c>
      <c r="I9" s="20">
        <f>186.5</f>
        <v>186.5</v>
      </c>
      <c r="J9" s="20">
        <f>110.5</f>
        <v>110.5</v>
      </c>
      <c r="K9" s="20">
        <f>290</f>
        <v>290</v>
      </c>
      <c r="L9" s="20"/>
      <c r="M9" s="20">
        <f>521.5</f>
        <v>521.5</v>
      </c>
      <c r="N9" s="20">
        <f>58.5</f>
        <v>58.5</v>
      </c>
      <c r="O9" s="19">
        <f>1138</f>
        <v>1138</v>
      </c>
      <c r="P9" s="19">
        <f>1653</f>
        <v>1653</v>
      </c>
      <c r="Q9" s="20">
        <f>67.5</f>
        <v>67.5</v>
      </c>
      <c r="R9" s="19"/>
      <c r="S9" s="19">
        <f>31</f>
        <v>31</v>
      </c>
      <c r="T9" s="19">
        <f>209</f>
        <v>209</v>
      </c>
      <c r="U9" s="19">
        <v>261.5</v>
      </c>
      <c r="V9" s="19">
        <v>223.5</v>
      </c>
      <c r="W9" s="19"/>
      <c r="X9" s="19">
        <f>260</f>
        <v>260</v>
      </c>
      <c r="Y9" s="19">
        <f>448</f>
        <v>448</v>
      </c>
      <c r="Z9" s="19">
        <f>33</f>
        <v>33</v>
      </c>
      <c r="AA9" s="19">
        <f>172.5</f>
        <v>172.5</v>
      </c>
      <c r="AB9" s="19"/>
      <c r="AC9" s="19">
        <f>78</f>
        <v>78</v>
      </c>
      <c r="AD9" s="19">
        <f>126.5</f>
        <v>126.5</v>
      </c>
      <c r="AE9" s="19">
        <f>1.5</f>
        <v>1.5</v>
      </c>
      <c r="AF9" s="19"/>
      <c r="AG9" s="19">
        <f>3373</f>
        <v>3373</v>
      </c>
      <c r="AH9" s="19">
        <f>354</f>
        <v>354</v>
      </c>
      <c r="AI9" s="19"/>
      <c r="AJ9" s="19">
        <f>21</f>
        <v>21</v>
      </c>
      <c r="AK9" s="19">
        <f>313</f>
        <v>313</v>
      </c>
      <c r="AL9" s="19">
        <f>679.5</f>
        <v>679.5</v>
      </c>
      <c r="AM9" s="19">
        <f>47.5</f>
        <v>47.5</v>
      </c>
      <c r="AN9" s="19"/>
      <c r="AO9" s="19">
        <f>32.5</f>
        <v>32.5</v>
      </c>
      <c r="AP9" s="19"/>
      <c r="AQ9" s="19">
        <f>36.5</f>
        <v>36.5</v>
      </c>
      <c r="AR9" s="19"/>
      <c r="AS9" s="19">
        <f>131+350.5</f>
        <v>481.5</v>
      </c>
      <c r="AT9" s="19"/>
      <c r="AU9" s="19"/>
      <c r="AV9" s="19">
        <f>16</f>
        <v>16</v>
      </c>
      <c r="AW9" s="19">
        <f>118.5</f>
        <v>118.5</v>
      </c>
      <c r="AX9" s="19">
        <f>994.5</f>
        <v>994.5</v>
      </c>
      <c r="AY9" s="19">
        <f>598</f>
        <v>598</v>
      </c>
      <c r="AZ9" s="19"/>
      <c r="BA9" s="20"/>
      <c r="BB9" s="19">
        <f>21.5</f>
        <v>21.5</v>
      </c>
      <c r="BC9" s="19">
        <f>31</f>
        <v>31</v>
      </c>
      <c r="BD9" s="19">
        <f t="shared" si="0"/>
        <v>14176</v>
      </c>
    </row>
    <row r="10" spans="2:57" ht="15" customHeight="1">
      <c r="B10" s="48"/>
      <c r="C10" s="53"/>
      <c r="D10" s="53"/>
      <c r="E10" s="53"/>
      <c r="F10" s="55"/>
      <c r="G10" s="20"/>
      <c r="H10" s="20"/>
      <c r="I10" s="20"/>
      <c r="J10" s="20"/>
      <c r="K10" s="20"/>
      <c r="L10" s="20"/>
      <c r="M10" s="20"/>
      <c r="N10" s="20"/>
      <c r="O10" s="19"/>
      <c r="P10" s="19"/>
      <c r="Q10" s="20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20"/>
      <c r="BB10" s="19"/>
      <c r="BC10" s="19"/>
      <c r="BD10" s="19">
        <f t="shared" si="0"/>
        <v>0</v>
      </c>
    </row>
    <row r="11" spans="2:57" ht="15" customHeight="1">
      <c r="B11" s="47" t="s">
        <v>92</v>
      </c>
      <c r="C11" s="52" t="s">
        <v>95</v>
      </c>
      <c r="D11" s="52">
        <v>2019</v>
      </c>
      <c r="E11" s="52" t="s">
        <v>93</v>
      </c>
      <c r="F11" s="54">
        <v>3</v>
      </c>
      <c r="G11" s="20">
        <f>8501.5</f>
        <v>8501.5</v>
      </c>
      <c r="H11" s="20">
        <f>2321</f>
        <v>2321</v>
      </c>
      <c r="I11" s="20">
        <f>867</f>
        <v>867</v>
      </c>
      <c r="J11" s="20">
        <f>1665</f>
        <v>1665</v>
      </c>
      <c r="K11" s="20">
        <f>3162.5</f>
        <v>3162.5</v>
      </c>
      <c r="L11" s="20">
        <f>210</f>
        <v>210</v>
      </c>
      <c r="M11" s="20">
        <f>920.5</f>
        <v>920.5</v>
      </c>
      <c r="N11" s="20">
        <f>276</f>
        <v>276</v>
      </c>
      <c r="O11" s="19">
        <f>642</f>
        <v>642</v>
      </c>
      <c r="P11" s="19">
        <f>976</f>
        <v>976</v>
      </c>
      <c r="Q11" s="20">
        <f>132</f>
        <v>132</v>
      </c>
      <c r="R11" s="19"/>
      <c r="S11" s="19">
        <f>205.5</f>
        <v>205.5</v>
      </c>
      <c r="T11" s="19">
        <f>649</f>
        <v>649</v>
      </c>
      <c r="U11" s="19">
        <f>804.5</f>
        <v>804.5</v>
      </c>
      <c r="V11" s="19">
        <f>406.5</f>
        <v>406.5</v>
      </c>
      <c r="W11" s="19">
        <f>99.5</f>
        <v>99.5</v>
      </c>
      <c r="X11" s="19">
        <f>29.5</f>
        <v>29.5</v>
      </c>
      <c r="Y11" s="19">
        <f>57</f>
        <v>57</v>
      </c>
      <c r="Z11" s="19">
        <f>39.5</f>
        <v>39.5</v>
      </c>
      <c r="AA11" s="19">
        <f>536</f>
        <v>536</v>
      </c>
      <c r="AB11" s="19"/>
      <c r="AC11" s="19">
        <f>135.5</f>
        <v>135.5</v>
      </c>
      <c r="AD11" s="19"/>
      <c r="AE11" s="19">
        <f>434</f>
        <v>434</v>
      </c>
      <c r="AF11" s="19"/>
      <c r="AG11" s="19">
        <f>5115.5</f>
        <v>5115.5</v>
      </c>
      <c r="AH11" s="19">
        <f>317</f>
        <v>317</v>
      </c>
      <c r="AI11" s="19">
        <f>144.5</f>
        <v>144.5</v>
      </c>
      <c r="AJ11" s="19"/>
      <c r="AK11" s="19"/>
      <c r="AL11" s="19">
        <f>1320.5</f>
        <v>1320.5</v>
      </c>
      <c r="AM11" s="19"/>
      <c r="AN11" s="19"/>
      <c r="AO11" s="19">
        <f>7.5</f>
        <v>7.5</v>
      </c>
      <c r="AP11" s="19"/>
      <c r="AQ11" s="19">
        <f>883.5</f>
        <v>883.5</v>
      </c>
      <c r="AR11" s="19">
        <f>3</f>
        <v>3</v>
      </c>
      <c r="AS11" s="19"/>
      <c r="AT11" s="19"/>
      <c r="AU11" s="19"/>
      <c r="AV11" s="19">
        <f>118</f>
        <v>118</v>
      </c>
      <c r="AW11" s="19"/>
      <c r="AX11" s="19"/>
      <c r="AY11" s="19"/>
      <c r="AZ11" s="19"/>
      <c r="BA11" s="20"/>
      <c r="BB11" s="19">
        <f>166.5</f>
        <v>166.5</v>
      </c>
      <c r="BC11" s="19">
        <f>326</f>
        <v>326</v>
      </c>
      <c r="BD11" s="19">
        <f t="shared" si="0"/>
        <v>31472</v>
      </c>
      <c r="BE11" s="10"/>
    </row>
    <row r="12" spans="2:57" ht="15" customHeight="1">
      <c r="B12" s="48"/>
      <c r="C12" s="53"/>
      <c r="D12" s="53"/>
      <c r="E12" s="53"/>
      <c r="F12" s="55"/>
      <c r="G12" s="20"/>
      <c r="H12" s="20"/>
      <c r="I12" s="20"/>
      <c r="J12" s="20"/>
      <c r="K12" s="20"/>
      <c r="L12" s="20"/>
      <c r="M12" s="20"/>
      <c r="N12" s="20"/>
      <c r="O12" s="19"/>
      <c r="P12" s="19"/>
      <c r="Q12" s="20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20"/>
      <c r="BB12" s="19"/>
      <c r="BC12" s="19"/>
      <c r="BD12" s="19">
        <f t="shared" si="0"/>
        <v>0</v>
      </c>
    </row>
    <row r="13" spans="2:57" ht="15" customHeight="1">
      <c r="B13" s="47"/>
      <c r="C13" s="52" t="s">
        <v>97</v>
      </c>
      <c r="D13" s="52">
        <v>2019</v>
      </c>
      <c r="E13" s="47" t="s">
        <v>98</v>
      </c>
      <c r="F13" s="52">
        <v>1</v>
      </c>
      <c r="G13" s="20">
        <f>1798+921+738.5+1233+641+1593+950+338</f>
        <v>8212.5</v>
      </c>
      <c r="H13" s="20">
        <f>557+342.5+105.5+82.5+790+62+405.5+21.5+10.5+373.5</f>
        <v>2750.5</v>
      </c>
      <c r="I13" s="20">
        <f>679+261.5+247</f>
        <v>1187.5</v>
      </c>
      <c r="J13" s="20">
        <f>31+40.5+64.5+166.5</f>
        <v>302.5</v>
      </c>
      <c r="K13" s="20">
        <f>1751.5+804+1050.5+655.5</f>
        <v>4261.5</v>
      </c>
      <c r="L13" s="20">
        <f>61.5+38+24</f>
        <v>123.5</v>
      </c>
      <c r="M13" s="20">
        <f>676.5+333+329+247</f>
        <v>1585.5</v>
      </c>
      <c r="N13" s="20">
        <f>123+60.5+82+59</f>
        <v>324.5</v>
      </c>
      <c r="O13" s="19">
        <f>560+178.5+548+906</f>
        <v>2192.5</v>
      </c>
      <c r="P13" s="19"/>
      <c r="Q13" s="20">
        <f>67+19+93.5+62</f>
        <v>241.5</v>
      </c>
      <c r="R13" s="19"/>
      <c r="S13" s="19">
        <f>27+32+32.5</f>
        <v>91.5</v>
      </c>
      <c r="T13" s="19">
        <f>258.5+158+483.5+210</f>
        <v>1110</v>
      </c>
      <c r="U13" s="19">
        <f>124+397.5+322.5</f>
        <v>844</v>
      </c>
      <c r="V13" s="19">
        <f>338+7.5+16+8</f>
        <v>369.5</v>
      </c>
      <c r="W13" s="19">
        <f>53.5+55.5+6+23.5</f>
        <v>138.5</v>
      </c>
      <c r="X13" s="19"/>
      <c r="Y13" s="19">
        <f>31+20+7+13.5</f>
        <v>71.5</v>
      </c>
      <c r="Z13" s="19">
        <f>350.5+254+206.5+124</f>
        <v>935</v>
      </c>
      <c r="AA13" s="19"/>
      <c r="AB13" s="19"/>
      <c r="AC13" s="19">
        <f>68.5</f>
        <v>68.5</v>
      </c>
      <c r="AD13" s="19">
        <f>14.5+2</f>
        <v>16.5</v>
      </c>
      <c r="AE13" s="19">
        <f>35.5+23.5</f>
        <v>59</v>
      </c>
      <c r="AF13" s="19"/>
      <c r="AG13" s="19">
        <f>1687.5+1220.5+1229.5+775</f>
        <v>4912.5</v>
      </c>
      <c r="AH13" s="19">
        <f>166.5+15.5+109+119+8+333</f>
        <v>751</v>
      </c>
      <c r="AI13" s="19">
        <f>75.5+27+51.5+15.5</f>
        <v>169.5</v>
      </c>
      <c r="AJ13" s="19"/>
      <c r="AK13" s="19"/>
      <c r="AL13" s="19">
        <f>36+42+78.5+81.5</f>
        <v>238</v>
      </c>
      <c r="AM13" s="19"/>
      <c r="AN13" s="19"/>
      <c r="AO13" s="19">
        <f>4</f>
        <v>4</v>
      </c>
      <c r="AP13" s="19"/>
      <c r="AQ13" s="19">
        <f>17+7.5+8</f>
        <v>32.5</v>
      </c>
      <c r="AR13" s="19"/>
      <c r="AS13" s="19"/>
      <c r="AT13" s="19"/>
      <c r="AU13" s="19"/>
      <c r="AV13" s="19"/>
      <c r="AW13" s="19"/>
      <c r="AX13" s="19"/>
      <c r="AY13" s="19"/>
      <c r="AZ13" s="19"/>
      <c r="BA13" s="20"/>
      <c r="BB13" s="19">
        <f>106+32+38+28.5</f>
        <v>204.5</v>
      </c>
      <c r="BC13" s="19">
        <f>16.5+7</f>
        <v>23.5</v>
      </c>
      <c r="BD13" s="19">
        <f t="shared" si="0"/>
        <v>31221.5</v>
      </c>
    </row>
    <row r="14" spans="2:57" ht="15" customHeight="1">
      <c r="B14" s="48"/>
      <c r="C14" s="53"/>
      <c r="D14" s="53"/>
      <c r="E14" s="48"/>
      <c r="F14" s="53"/>
      <c r="G14" s="20"/>
      <c r="H14" s="20"/>
      <c r="I14" s="20"/>
      <c r="J14" s="20"/>
      <c r="K14" s="20"/>
      <c r="L14" s="20"/>
      <c r="M14" s="20"/>
      <c r="N14" s="20"/>
      <c r="O14" s="19"/>
      <c r="P14" s="19"/>
      <c r="Q14" s="20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20"/>
      <c r="BB14" s="19"/>
      <c r="BC14" s="19"/>
      <c r="BD14" s="19">
        <f t="shared" si="0"/>
        <v>0</v>
      </c>
    </row>
    <row r="15" spans="2:57" ht="15" customHeight="1">
      <c r="B15" s="47"/>
      <c r="C15" s="47" t="s">
        <v>99</v>
      </c>
      <c r="D15" s="47">
        <v>2019</v>
      </c>
      <c r="E15" s="47" t="s">
        <v>98</v>
      </c>
      <c r="F15" s="47">
        <v>3</v>
      </c>
      <c r="G15" s="20">
        <f>933.5+547.5+229+210+767.5+365+890.5+1017+473+284+257.5+201</f>
        <v>6175.5</v>
      </c>
      <c r="H15" s="20">
        <f>241+15.5+17.5+399+20.5+108.5+78.5+220+52.5+30+12</f>
        <v>1195</v>
      </c>
      <c r="I15" s="20">
        <f>347.5+265+122+659+107+113+42</f>
        <v>1655.5</v>
      </c>
      <c r="J15" s="20">
        <f>104+91.5+151</f>
        <v>346.5</v>
      </c>
      <c r="K15" s="20">
        <f>968+306+1569.5+1409.5+441+338</f>
        <v>5032</v>
      </c>
      <c r="L15" s="20">
        <f>18.5+57+53+33.5</f>
        <v>162</v>
      </c>
      <c r="M15" s="20">
        <f>170.5+87.5+130.5+274.5+40+50</f>
        <v>753</v>
      </c>
      <c r="N15" s="20">
        <f>33+62.5+87.5+61.5+101+37</f>
        <v>382.5</v>
      </c>
      <c r="O15" s="19">
        <f>221.5+158.5+114.5+64+31</f>
        <v>589.5</v>
      </c>
      <c r="P15" s="19">
        <f>19</f>
        <v>19</v>
      </c>
      <c r="Q15" s="20">
        <f>25.5+29.5+25.5+3</f>
        <v>83.5</v>
      </c>
      <c r="R15" s="19">
        <f>3</f>
        <v>3</v>
      </c>
      <c r="S15" s="19">
        <f>6+18.5+6.5+1.5</f>
        <v>32.5</v>
      </c>
      <c r="T15" s="19">
        <f>284.5+270+24.5+47.5+90+39.5</f>
        <v>756</v>
      </c>
      <c r="U15" s="19">
        <f>1234+1394.5+1189+642.5+304.5</f>
        <v>4764.5</v>
      </c>
      <c r="V15" s="19">
        <f>6.5+481+6.5+15.5+5+11.5+2</f>
        <v>528</v>
      </c>
      <c r="W15" s="19">
        <f>20+13.5+1</f>
        <v>34.5</v>
      </c>
      <c r="X15" s="19">
        <f>1913</f>
        <v>1913</v>
      </c>
      <c r="Y15" s="19">
        <f>179+327.5+78+62.5+72+96.5+255.5+373.5+10.5+271.5</f>
        <v>1726.5</v>
      </c>
      <c r="Z15" s="19">
        <f>50+51+58.5+76.5+25</f>
        <v>261</v>
      </c>
      <c r="AA15" s="19"/>
      <c r="AB15" s="19">
        <f>6.5</f>
        <v>6.5</v>
      </c>
      <c r="AC15" s="19"/>
      <c r="AD15" s="27">
        <f>170.5+161+8.5+13.5+43.5+53</f>
        <v>450</v>
      </c>
      <c r="AE15" s="19">
        <f>21+13+24+14+6.5</f>
        <v>78.5</v>
      </c>
      <c r="AF15" s="19"/>
      <c r="AG15" s="19">
        <f>1505+927+173+227+287+240</f>
        <v>3359</v>
      </c>
      <c r="AH15" s="19">
        <f>646+114+730.5+210+41.5+94.5+31.5+70+43.5+85+52</f>
        <v>2118.5</v>
      </c>
      <c r="AI15" s="19">
        <f>18+53+29.5+20.5+7</f>
        <v>128</v>
      </c>
      <c r="AJ15" s="19"/>
      <c r="AK15" s="19">
        <f>19.5+5.5+11+21.5</f>
        <v>57.5</v>
      </c>
      <c r="AL15" s="19">
        <f>1616+1950+87+94+240.5+137.5</f>
        <v>4125</v>
      </c>
      <c r="AM15" s="19">
        <f>102+262.5+19.5+28.5+8.5</f>
        <v>421</v>
      </c>
      <c r="AN15" s="19"/>
      <c r="AO15" s="19">
        <f>33+16.5+7.5+9</f>
        <v>66</v>
      </c>
      <c r="AP15" s="19"/>
      <c r="AQ15" s="19">
        <f>4+37+19+33+44.5</f>
        <v>137.5</v>
      </c>
      <c r="AR15" s="19">
        <f>13</f>
        <v>13</v>
      </c>
      <c r="AS15" s="19">
        <f>15.5</f>
        <v>15.5</v>
      </c>
      <c r="AT15" s="19">
        <f>19+13</f>
        <v>32</v>
      </c>
      <c r="AU15" s="19">
        <f>8.5+7</f>
        <v>15.5</v>
      </c>
      <c r="AV15" s="19"/>
      <c r="AW15" s="19">
        <f>5+15.5+10</f>
        <v>30.5</v>
      </c>
      <c r="AX15" s="19">
        <f>10+3.5+9.5+20.5+39.5+14.5+387+27+29.5+1291+124+37+51.5+170+1027.5+24.5+21.5</f>
        <v>3288</v>
      </c>
      <c r="AY15" s="20">
        <f>173+78+35.5+100.5+157.5+220+3</f>
        <v>767.5</v>
      </c>
      <c r="AZ15" s="20"/>
      <c r="BA15" s="20"/>
      <c r="BB15" s="19">
        <f>51.5+116.5+27+143.5</f>
        <v>338.5</v>
      </c>
      <c r="BC15" s="19">
        <f>8+14.5+14+15.5</f>
        <v>52</v>
      </c>
      <c r="BD15" s="19">
        <f t="shared" si="0"/>
        <v>41913</v>
      </c>
    </row>
    <row r="16" spans="2:57" ht="15" customHeight="1">
      <c r="B16" s="48"/>
      <c r="C16" s="48"/>
      <c r="D16" s="48"/>
      <c r="E16" s="48"/>
      <c r="F16" s="48"/>
      <c r="G16" s="20"/>
      <c r="H16" s="20"/>
      <c r="I16" s="20"/>
      <c r="J16" s="20"/>
      <c r="K16" s="20"/>
      <c r="L16" s="20"/>
      <c r="M16" s="20"/>
      <c r="N16" s="20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20"/>
      <c r="AZ16" s="20"/>
      <c r="BA16" s="20"/>
      <c r="BB16" s="19"/>
      <c r="BC16" s="19"/>
      <c r="BD16" s="19">
        <f t="shared" si="0"/>
        <v>0</v>
      </c>
    </row>
    <row r="17" spans="2:56" ht="15" customHeight="1">
      <c r="B17" s="47"/>
      <c r="C17" s="47" t="s">
        <v>88</v>
      </c>
      <c r="D17" s="47">
        <v>2019</v>
      </c>
      <c r="E17" s="47" t="s">
        <v>98</v>
      </c>
      <c r="F17" s="47">
        <v>15</v>
      </c>
      <c r="G17" s="20">
        <f>644.5+469.5+558.5+398+82.5+95.5</f>
        <v>2248.5</v>
      </c>
      <c r="H17" s="20">
        <f>178.5+206.5+18+35.5+10</f>
        <v>448.5</v>
      </c>
      <c r="I17" s="20">
        <f>137.5+202.5+26+42.5</f>
        <v>408.5</v>
      </c>
      <c r="J17" s="20">
        <f>19+22.5</f>
        <v>41.5</v>
      </c>
      <c r="K17" s="20">
        <f>1529+1922.5+91+91.5</f>
        <v>3634</v>
      </c>
      <c r="L17" s="20">
        <f>20+19</f>
        <v>39</v>
      </c>
      <c r="M17" s="20">
        <f>312.5+250.5+31</f>
        <v>594</v>
      </c>
      <c r="N17" s="20">
        <f>39.5+64.5+20.5</f>
        <v>124.5</v>
      </c>
      <c r="O17" s="19">
        <f>62.5+102.5</f>
        <v>165</v>
      </c>
      <c r="P17" s="19">
        <f>6</f>
        <v>6</v>
      </c>
      <c r="Q17" s="20">
        <f>12.5+1.5</f>
        <v>14</v>
      </c>
      <c r="R17" s="19"/>
      <c r="S17" s="19">
        <f>16.5+15</f>
        <v>31.5</v>
      </c>
      <c r="T17" s="19">
        <f>19.5+143.5+14</f>
        <v>177</v>
      </c>
      <c r="U17" s="19">
        <f>296.5+492.5+253.5</f>
        <v>1042.5</v>
      </c>
      <c r="V17" s="19">
        <f>7+17+12.5+6+67+20.5</f>
        <v>130</v>
      </c>
      <c r="W17" s="19">
        <f>14.5+32.5</f>
        <v>47</v>
      </c>
      <c r="X17" s="19">
        <f>482.5+2647+27</f>
        <v>3156.5</v>
      </c>
      <c r="Y17" s="19">
        <f>538.5+1948+19</f>
        <v>2505.5</v>
      </c>
      <c r="Z17" s="19">
        <f>37+25+20+17</f>
        <v>99</v>
      </c>
      <c r="AA17" s="19"/>
      <c r="AB17" s="19"/>
      <c r="AC17" s="19"/>
      <c r="AD17" s="19">
        <f>44.5+231+4.5</f>
        <v>280</v>
      </c>
      <c r="AE17" s="19">
        <f>14</f>
        <v>14</v>
      </c>
      <c r="AF17" s="19"/>
      <c r="AG17" s="19">
        <f>27.5+955.5+610</f>
        <v>1593</v>
      </c>
      <c r="AH17" s="19">
        <f>269+348+13.5+3</f>
        <v>633.5</v>
      </c>
      <c r="AI17" s="19">
        <f>24+21.5+13</f>
        <v>58.5</v>
      </c>
      <c r="AJ17" s="19"/>
      <c r="AK17" s="19"/>
      <c r="AL17" s="19">
        <f>319+197.5+5.5</f>
        <v>522</v>
      </c>
      <c r="AM17" s="19">
        <f>13.5+7.5</f>
        <v>21</v>
      </c>
      <c r="AN17" s="19"/>
      <c r="AO17" s="19">
        <f>15</f>
        <v>15</v>
      </c>
      <c r="AP17" s="19"/>
      <c r="AQ17" s="19">
        <f>14.5</f>
        <v>14.5</v>
      </c>
      <c r="AR17" s="19"/>
      <c r="AS17" s="19"/>
      <c r="AT17" s="19">
        <f>12</f>
        <v>12</v>
      </c>
      <c r="AU17" s="19"/>
      <c r="AV17" s="19"/>
      <c r="AW17" s="19">
        <f>18</f>
        <v>18</v>
      </c>
      <c r="AX17" s="19">
        <f>176+28.5+8.5+3582.5+467.5+3624+65</f>
        <v>7952</v>
      </c>
      <c r="AY17" s="19">
        <f>338.5+845.5+7</f>
        <v>1191</v>
      </c>
      <c r="AZ17" s="19"/>
      <c r="BA17" s="20"/>
      <c r="BB17" s="19">
        <f>22.5</f>
        <v>22.5</v>
      </c>
      <c r="BC17" s="19">
        <f>18+46.5+17</f>
        <v>81.5</v>
      </c>
      <c r="BD17" s="19">
        <f t="shared" si="0"/>
        <v>27341</v>
      </c>
    </row>
    <row r="18" spans="2:56" ht="15" customHeight="1">
      <c r="B18" s="48"/>
      <c r="C18" s="48"/>
      <c r="D18" s="48"/>
      <c r="E18" s="48"/>
      <c r="F18" s="48"/>
      <c r="G18" s="20"/>
      <c r="H18" s="20"/>
      <c r="I18" s="20"/>
      <c r="J18" s="20"/>
      <c r="K18" s="20"/>
      <c r="L18" s="20"/>
      <c r="M18" s="20"/>
      <c r="N18" s="20"/>
      <c r="O18" s="19"/>
      <c r="P18" s="19"/>
      <c r="Q18" s="20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20"/>
      <c r="BB18" s="19"/>
      <c r="BC18" s="19"/>
      <c r="BD18" s="19">
        <f t="shared" si="0"/>
        <v>0</v>
      </c>
    </row>
    <row r="19" spans="2:56" ht="15" customHeight="1">
      <c r="B19" s="47"/>
      <c r="C19" s="47" t="s">
        <v>89</v>
      </c>
      <c r="D19" s="47">
        <v>2019</v>
      </c>
      <c r="E19" s="47" t="s">
        <v>98</v>
      </c>
      <c r="F19" s="47">
        <v>15</v>
      </c>
      <c r="G19" s="20">
        <f>1108+451.5+776+461</f>
        <v>2796.5</v>
      </c>
      <c r="H19" s="20">
        <f>759+99+484.5+13.5</f>
        <v>1356</v>
      </c>
      <c r="I19" s="20">
        <f>239+395.5</f>
        <v>634.5</v>
      </c>
      <c r="J19" s="20">
        <f>171.5+9.5+38</f>
        <v>219</v>
      </c>
      <c r="K19" s="20">
        <f>1348.5+76.5+673.5</f>
        <v>2098.5</v>
      </c>
      <c r="L19" s="20">
        <f>14.5+9.5+25.5</f>
        <v>49.5</v>
      </c>
      <c r="M19" s="20">
        <f>288+236.5+17</f>
        <v>541.5</v>
      </c>
      <c r="N19" s="20">
        <f>33.5+100.5</f>
        <v>134</v>
      </c>
      <c r="O19" s="19">
        <f>398+573.5</f>
        <v>971.5</v>
      </c>
      <c r="P19" s="19">
        <f>136.5</f>
        <v>136.5</v>
      </c>
      <c r="Q19" s="20">
        <f>76.5+205</f>
        <v>281.5</v>
      </c>
      <c r="R19" s="19"/>
      <c r="S19" s="19">
        <f>56.5+14.5+9.5</f>
        <v>80.5</v>
      </c>
      <c r="T19" s="19">
        <f>289+217.5</f>
        <v>506.5</v>
      </c>
      <c r="U19" s="19">
        <f>2443.5+1267+11+1.5</f>
        <v>3723</v>
      </c>
      <c r="V19" s="19">
        <f>14.5+16.5+5</f>
        <v>36</v>
      </c>
      <c r="W19" s="19">
        <f>16+24.5</f>
        <v>40.5</v>
      </c>
      <c r="X19" s="19">
        <f>216</f>
        <v>216</v>
      </c>
      <c r="Y19" s="19">
        <f>212+135+265.5+17</f>
        <v>629.5</v>
      </c>
      <c r="Z19" s="19">
        <f>33.5+7+45.5</f>
        <v>86</v>
      </c>
      <c r="AA19" s="19">
        <f>11.5</f>
        <v>11.5</v>
      </c>
      <c r="AB19" s="19"/>
      <c r="AC19" s="19">
        <f>8.5+9</f>
        <v>17.5</v>
      </c>
      <c r="AD19" s="19">
        <f>86.5+75.5+32.5</f>
        <v>194.5</v>
      </c>
      <c r="AE19" s="19">
        <f>62+15</f>
        <v>77</v>
      </c>
      <c r="AF19" s="19"/>
      <c r="AG19" s="19">
        <f>714.5+355</f>
        <v>1069.5</v>
      </c>
      <c r="AH19" s="19">
        <f>123.5+717+64.5+374+71.5</f>
        <v>1350.5</v>
      </c>
      <c r="AI19" s="19">
        <f>16+13.5+33</f>
        <v>62.5</v>
      </c>
      <c r="AJ19" s="19"/>
      <c r="AK19" s="19"/>
      <c r="AL19" s="19">
        <f>888.5+482</f>
        <v>1370.5</v>
      </c>
      <c r="AM19" s="19">
        <f>15+36.5</f>
        <v>51.5</v>
      </c>
      <c r="AN19" s="19"/>
      <c r="AO19" s="19">
        <f>11+4</f>
        <v>15</v>
      </c>
      <c r="AP19" s="19"/>
      <c r="AQ19" s="19">
        <f>158.5+29+24</f>
        <v>211.5</v>
      </c>
      <c r="AR19" s="19"/>
      <c r="AS19" s="19"/>
      <c r="AT19" s="19">
        <f>15.5</f>
        <v>15.5</v>
      </c>
      <c r="AU19" s="19"/>
      <c r="AV19" s="19"/>
      <c r="AW19" s="19"/>
      <c r="AX19" s="19">
        <f>45+20+18+35</f>
        <v>118</v>
      </c>
      <c r="AY19" s="19"/>
      <c r="AZ19" s="19"/>
      <c r="BA19" s="20"/>
      <c r="BB19" s="19">
        <f>20.5+37</f>
        <v>57.5</v>
      </c>
      <c r="BC19" s="19">
        <f>21+11+8.5</f>
        <v>40.5</v>
      </c>
      <c r="BD19" s="19">
        <f t="shared" si="0"/>
        <v>19200</v>
      </c>
    </row>
    <row r="20" spans="2:56" ht="15" customHeight="1">
      <c r="B20" s="48"/>
      <c r="C20" s="48"/>
      <c r="D20" s="48"/>
      <c r="E20" s="48"/>
      <c r="F20" s="48"/>
      <c r="G20" s="20"/>
      <c r="H20" s="20"/>
      <c r="I20" s="20"/>
      <c r="J20" s="20"/>
      <c r="K20" s="20"/>
      <c r="L20" s="20"/>
      <c r="M20" s="20"/>
      <c r="N20" s="20"/>
      <c r="O20" s="19"/>
      <c r="P20" s="19"/>
      <c r="Q20" s="20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20"/>
      <c r="BB20" s="19"/>
      <c r="BC20" s="19"/>
      <c r="BD20" s="19">
        <f t="shared" si="0"/>
        <v>0</v>
      </c>
    </row>
    <row r="21" spans="2:56" ht="15" customHeight="1">
      <c r="B21" s="47"/>
      <c r="C21" s="47" t="s">
        <v>79</v>
      </c>
      <c r="D21" s="47">
        <v>2019</v>
      </c>
      <c r="E21" s="47" t="s">
        <v>98</v>
      </c>
      <c r="F21" s="47">
        <v>28</v>
      </c>
      <c r="G21" s="20">
        <f>1023.5+281+440+103.5+890+485.5</f>
        <v>3223.5</v>
      </c>
      <c r="H21" s="20">
        <f>278+56.5+231+14.5</f>
        <v>580</v>
      </c>
      <c r="I21" s="20">
        <f>161+171.5</f>
        <v>332.5</v>
      </c>
      <c r="J21" s="20">
        <f>42</f>
        <v>42</v>
      </c>
      <c r="K21" s="20">
        <f>432+96+179.5</f>
        <v>707.5</v>
      </c>
      <c r="L21" s="20">
        <f>2.5</f>
        <v>2.5</v>
      </c>
      <c r="M21" s="20">
        <f>1202.5</f>
        <v>1202.5</v>
      </c>
      <c r="N21" s="20">
        <f>8+22.5</f>
        <v>30.5</v>
      </c>
      <c r="O21" s="19">
        <f>2389.5</f>
        <v>2389.5</v>
      </c>
      <c r="P21" s="19"/>
      <c r="Q21" s="20">
        <f>233</f>
        <v>233</v>
      </c>
      <c r="R21" s="19"/>
      <c r="S21" s="19">
        <f>24</f>
        <v>24</v>
      </c>
      <c r="T21" s="19">
        <f>285.5+164+259.5</f>
        <v>709</v>
      </c>
      <c r="U21" s="19">
        <f>931.5+386+837</f>
        <v>2154.5</v>
      </c>
      <c r="V21" s="19">
        <f>18.5+10.5+22+22+9</f>
        <v>82</v>
      </c>
      <c r="W21" s="19">
        <f>21</f>
        <v>21</v>
      </c>
      <c r="X21" s="19">
        <f>420.5+1248+1013</f>
        <v>2681.5</v>
      </c>
      <c r="Y21" s="19">
        <f>338+1767.5+399</f>
        <v>2504.5</v>
      </c>
      <c r="Z21" s="19">
        <f>6+12.5</f>
        <v>18.5</v>
      </c>
      <c r="AA21" s="19">
        <f>10.5</f>
        <v>10.5</v>
      </c>
      <c r="AB21" s="19"/>
      <c r="AC21" s="19">
        <f>2</f>
        <v>2</v>
      </c>
      <c r="AD21" s="19">
        <f>49+347.5+43</f>
        <v>439.5</v>
      </c>
      <c r="AE21" s="19"/>
      <c r="AF21" s="19"/>
      <c r="AG21" s="19">
        <f>973.5+544+1436</f>
        <v>2953.5</v>
      </c>
      <c r="AH21" s="19">
        <f>400.5+591+317+18+33</f>
        <v>1359.5</v>
      </c>
      <c r="AI21" s="19">
        <f>3</f>
        <v>3</v>
      </c>
      <c r="AJ21" s="19"/>
      <c r="AK21" s="19"/>
      <c r="AL21" s="19">
        <f>91+156.5+91</f>
        <v>338.5</v>
      </c>
      <c r="AM21" s="19">
        <f>44+31</f>
        <v>75</v>
      </c>
      <c r="AN21" s="19"/>
      <c r="AO21" s="19">
        <f>30.5+8</f>
        <v>38.5</v>
      </c>
      <c r="AP21" s="19"/>
      <c r="AQ21" s="19">
        <f>3</f>
        <v>3</v>
      </c>
      <c r="AR21" s="19"/>
      <c r="AS21" s="19"/>
      <c r="AT21" s="19"/>
      <c r="AU21" s="19"/>
      <c r="AV21" s="19"/>
      <c r="AW21" s="19"/>
      <c r="AX21" s="19">
        <f>461.5+179+3277+126+44+1024+45+52.5+31.5</f>
        <v>5240.5</v>
      </c>
      <c r="AY21" s="19">
        <f>67+860+534</f>
        <v>1461</v>
      </c>
      <c r="AZ21" s="19"/>
      <c r="BA21" s="20"/>
      <c r="BB21" s="19"/>
      <c r="BC21" s="19">
        <f>39+11</f>
        <v>50</v>
      </c>
      <c r="BD21" s="19">
        <f t="shared" si="0"/>
        <v>28913</v>
      </c>
    </row>
    <row r="22" spans="2:56" ht="15" customHeight="1">
      <c r="B22" s="48"/>
      <c r="C22" s="48"/>
      <c r="D22" s="48"/>
      <c r="E22" s="48"/>
      <c r="F22" s="48"/>
      <c r="G22" s="20"/>
      <c r="H22" s="20"/>
      <c r="I22" s="20"/>
      <c r="J22" s="20"/>
      <c r="K22" s="20"/>
      <c r="L22" s="20"/>
      <c r="M22" s="20"/>
      <c r="N22" s="20"/>
      <c r="O22" s="19"/>
      <c r="P22" s="19"/>
      <c r="Q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20"/>
      <c r="BB22" s="19"/>
      <c r="BC22" s="19"/>
      <c r="BD22" s="19">
        <f t="shared" si="0"/>
        <v>0</v>
      </c>
    </row>
    <row r="23" spans="2:56" ht="15" customHeight="1">
      <c r="B23" s="47"/>
      <c r="C23" s="47" t="s">
        <v>100</v>
      </c>
      <c r="D23" s="47">
        <v>2019</v>
      </c>
      <c r="E23" s="47" t="s">
        <v>98</v>
      </c>
      <c r="F23" s="47">
        <v>22</v>
      </c>
      <c r="G23" s="20">
        <f>1097.5+1251+997.5+409.5+1701+1023.5</f>
        <v>6480</v>
      </c>
      <c r="H23" s="20">
        <f>1346+16.5+485+696.5+153.5</f>
        <v>2697.5</v>
      </c>
      <c r="I23" s="20">
        <f>93.5+28+136+777</f>
        <v>1034.5</v>
      </c>
      <c r="J23" s="20">
        <f>260+50</f>
        <v>310</v>
      </c>
      <c r="K23" s="20">
        <f>585.5+321.5+232.5</f>
        <v>1139.5</v>
      </c>
      <c r="L23" s="20">
        <f>26+17.5</f>
        <v>43.5</v>
      </c>
      <c r="M23" s="20">
        <f>63+160+400.5</f>
        <v>623.5</v>
      </c>
      <c r="N23" s="20">
        <f>34+26.5+89</f>
        <v>149.5</v>
      </c>
      <c r="O23" s="19">
        <f>155+485.5+854</f>
        <v>1494.5</v>
      </c>
      <c r="P23" s="19"/>
      <c r="Q23" s="20">
        <f>54+164+303</f>
        <v>521</v>
      </c>
      <c r="R23" s="19"/>
      <c r="S23" s="19">
        <f>19+35+269</f>
        <v>323</v>
      </c>
      <c r="T23" s="19">
        <f>259.5+220+331</f>
        <v>810.5</v>
      </c>
      <c r="U23" s="19">
        <f>1608+728.5+130</f>
        <v>2466.5</v>
      </c>
      <c r="V23" s="19">
        <f>90+29+14.5</f>
        <v>133.5</v>
      </c>
      <c r="W23" s="19">
        <f>43.5</f>
        <v>43.5</v>
      </c>
      <c r="X23" s="19">
        <f>79.5+32+37</f>
        <v>148.5</v>
      </c>
      <c r="Y23" s="19">
        <f>31.5+5.5</f>
        <v>37</v>
      </c>
      <c r="Z23" s="19">
        <f>65.5+29.5+62</f>
        <v>157</v>
      </c>
      <c r="AA23" s="19"/>
      <c r="AB23" s="19"/>
      <c r="AC23" s="19">
        <f>31+144+1531</f>
        <v>1706</v>
      </c>
      <c r="AD23" s="19">
        <f>14+15</f>
        <v>29</v>
      </c>
      <c r="AE23" s="19">
        <f>208.5</f>
        <v>208.5</v>
      </c>
      <c r="AF23" s="19"/>
      <c r="AG23" s="19">
        <f>786+454+336</f>
        <v>1576</v>
      </c>
      <c r="AH23" s="19">
        <f>425.5+20+27+271.5+126+25</f>
        <v>895</v>
      </c>
      <c r="AI23" s="19">
        <f>7.5</f>
        <v>7.5</v>
      </c>
      <c r="AJ23" s="19"/>
      <c r="AK23" s="19"/>
      <c r="AL23" s="19">
        <f>329+153+128.5</f>
        <v>610.5</v>
      </c>
      <c r="AM23" s="19">
        <f>50.5+68.5+6</f>
        <v>125</v>
      </c>
      <c r="AN23" s="19"/>
      <c r="AO23" s="19">
        <f>34.5</f>
        <v>34.5</v>
      </c>
      <c r="AP23" s="19"/>
      <c r="AQ23" s="19">
        <f>10.5</f>
        <v>10.5</v>
      </c>
      <c r="AR23" s="19"/>
      <c r="AS23" s="19">
        <f>11</f>
        <v>11</v>
      </c>
      <c r="AT23" s="19"/>
      <c r="AU23" s="19"/>
      <c r="AV23" s="19"/>
      <c r="AW23" s="19"/>
      <c r="AX23" s="19">
        <f>346+48.5</f>
        <v>394.5</v>
      </c>
      <c r="AY23" s="19">
        <f>36.5+21.5+17+6</f>
        <v>81</v>
      </c>
      <c r="AZ23" s="19"/>
      <c r="BA23" s="20"/>
      <c r="BB23" s="19">
        <f>33.5+67</f>
        <v>100.5</v>
      </c>
      <c r="BC23" s="19">
        <f>79+52+377.5</f>
        <v>508.5</v>
      </c>
      <c r="BD23" s="19">
        <f t="shared" si="0"/>
        <v>24911</v>
      </c>
    </row>
    <row r="24" spans="2:56" ht="15" customHeight="1">
      <c r="B24" s="48"/>
      <c r="C24" s="48"/>
      <c r="D24" s="48"/>
      <c r="E24" s="48"/>
      <c r="F24" s="48"/>
      <c r="G24" s="20"/>
      <c r="H24" s="20"/>
      <c r="I24" s="20"/>
      <c r="J24" s="20"/>
      <c r="K24" s="20"/>
      <c r="L24" s="20"/>
      <c r="M24" s="20"/>
      <c r="N24" s="20"/>
      <c r="O24" s="19"/>
      <c r="P24" s="19"/>
      <c r="Q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20"/>
      <c r="BB24" s="19"/>
      <c r="BC24" s="19"/>
      <c r="BD24" s="19">
        <f t="shared" si="0"/>
        <v>0</v>
      </c>
    </row>
    <row r="25" spans="2:56" ht="15" customHeight="1">
      <c r="B25" s="47"/>
      <c r="C25" s="47" t="s">
        <v>101</v>
      </c>
      <c r="D25" s="47">
        <v>2019</v>
      </c>
      <c r="E25" s="47" t="s">
        <v>98</v>
      </c>
      <c r="F25" s="47">
        <v>16</v>
      </c>
      <c r="G25" s="20">
        <f>521+227+37+574.5+356.5+36.5+37.5+8.5+9</f>
        <v>1807.5</v>
      </c>
      <c r="H25" s="20">
        <f>234.5+60+220.5+47+6</f>
        <v>568</v>
      </c>
      <c r="I25" s="20">
        <f>217+12+184.5+4.5+10.5</f>
        <v>428.5</v>
      </c>
      <c r="J25" s="20">
        <f>30</f>
        <v>30</v>
      </c>
      <c r="K25" s="20">
        <f>1313+69.5+1285.5+47.5+5.5</f>
        <v>2721</v>
      </c>
      <c r="L25" s="20">
        <f>23+29+1.5</f>
        <v>53.5</v>
      </c>
      <c r="M25" s="20">
        <f>492+4+350.5+7.5+8</f>
        <v>862</v>
      </c>
      <c r="N25" s="20">
        <f>60.5+25.5+31+48+9</f>
        <v>174</v>
      </c>
      <c r="O25" s="19">
        <f>1041.5+23+387.5</f>
        <v>1452</v>
      </c>
      <c r="P25" s="19">
        <f>11+50</f>
        <v>61</v>
      </c>
      <c r="Q25" s="20">
        <f>13.5+2.5+1.5</f>
        <v>17.5</v>
      </c>
      <c r="R25" s="19"/>
      <c r="S25" s="19">
        <f>22+11.5+5</f>
        <v>38.5</v>
      </c>
      <c r="T25" s="19">
        <f>393+8+216.5+17.5+8.5</f>
        <v>643.5</v>
      </c>
      <c r="U25" s="19">
        <f>596.5+13.5+13+274.5+19.5+15.5</f>
        <v>932.5</v>
      </c>
      <c r="V25" s="19">
        <f>10.5+10.5+2.5+3.5+15+10</f>
        <v>52</v>
      </c>
      <c r="W25" s="19">
        <f>5.5+33.5</f>
        <v>39</v>
      </c>
      <c r="X25" s="19">
        <f>95+895.5+592+812+171.5+1609.5+1574.5</f>
        <v>5750</v>
      </c>
      <c r="Y25" s="19">
        <f>50.5+271.5+255+227+83.5+519+413.5</f>
        <v>1820</v>
      </c>
      <c r="Z25" s="19">
        <f>38+20.5+28.5</f>
        <v>87</v>
      </c>
      <c r="AA25" s="19"/>
      <c r="AB25" s="19"/>
      <c r="AC25" s="19">
        <f>7</f>
        <v>7</v>
      </c>
      <c r="AD25" s="19">
        <f>3.5+439.5</f>
        <v>443</v>
      </c>
      <c r="AE25" s="19">
        <f>6+15+10.5</f>
        <v>31.5</v>
      </c>
      <c r="AF25" s="19"/>
      <c r="AG25" s="19">
        <f>1160.5+10+575.5+22.5+10+28.5</f>
        <v>1807</v>
      </c>
      <c r="AH25" s="19">
        <f>660.5+17.5+305+10+16+20</f>
        <v>1029</v>
      </c>
      <c r="AI25" s="19">
        <f>22.5+7+19.5+7</f>
        <v>56</v>
      </c>
      <c r="AJ25" s="19"/>
      <c r="AK25" s="19"/>
      <c r="AL25" s="19">
        <f>224+35+29.5+26+15.5</f>
        <v>330</v>
      </c>
      <c r="AM25" s="19">
        <f>15.5+7.5</f>
        <v>23</v>
      </c>
      <c r="AN25" s="19"/>
      <c r="AO25" s="19">
        <f>16+3+3.5</f>
        <v>22.5</v>
      </c>
      <c r="AP25" s="19"/>
      <c r="AQ25" s="19">
        <f>6.5+3+4</f>
        <v>13.5</v>
      </c>
      <c r="AR25" s="19"/>
      <c r="AS25" s="19"/>
      <c r="AT25" s="19">
        <f>12+11.5</f>
        <v>23.5</v>
      </c>
      <c r="AU25" s="19"/>
      <c r="AV25" s="19"/>
      <c r="AW25" s="19">
        <f>20</f>
        <v>20</v>
      </c>
      <c r="AX25" s="19">
        <f>123+124+1440.5+62+113+863+31.5+13.5+70.5+1147.5+43+557.5+25+244+1783.5+19+34.5+586+132.5</f>
        <v>7413.5</v>
      </c>
      <c r="AY25" s="19">
        <f>105+424.5+118+373.5+157+441.5+319.5</f>
        <v>1939</v>
      </c>
      <c r="AZ25" s="19"/>
      <c r="BA25" s="20"/>
      <c r="BB25" s="19">
        <f>32.5+17</f>
        <v>49.5</v>
      </c>
      <c r="BC25" s="19">
        <f>19+4+9.5+10</f>
        <v>42.5</v>
      </c>
      <c r="BD25" s="19">
        <f t="shared" si="0"/>
        <v>30788</v>
      </c>
    </row>
    <row r="26" spans="2:56" ht="15" customHeight="1">
      <c r="B26" s="48"/>
      <c r="C26" s="48"/>
      <c r="D26" s="48"/>
      <c r="E26" s="48"/>
      <c r="F26" s="48"/>
      <c r="G26" s="20"/>
      <c r="H26" s="20"/>
      <c r="I26" s="20"/>
      <c r="J26" s="20"/>
      <c r="K26" s="20"/>
      <c r="L26" s="20"/>
      <c r="M26" s="20"/>
      <c r="N26" s="20"/>
      <c r="O26" s="19"/>
      <c r="P26" s="19"/>
      <c r="Q26" s="20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20"/>
      <c r="BB26" s="19"/>
      <c r="BC26" s="19"/>
      <c r="BD26" s="19">
        <f t="shared" si="0"/>
        <v>0</v>
      </c>
    </row>
    <row r="27" spans="2:56" ht="15" customHeight="1">
      <c r="B27" s="47"/>
      <c r="C27" s="47" t="s">
        <v>102</v>
      </c>
      <c r="D27" s="47">
        <v>2019</v>
      </c>
      <c r="E27" s="47" t="s">
        <v>98</v>
      </c>
      <c r="F27" s="47">
        <v>17</v>
      </c>
      <c r="G27" s="20">
        <f>3279.5+1267.5+1175.5+117.5+207.5+1805+1130.5+2190+710+1037+342</f>
        <v>13262</v>
      </c>
      <c r="H27" s="20">
        <f>345+885.5+345.5+142.5+699.5+30+547.5+37+29.5+159.5+10.5</f>
        <v>3232</v>
      </c>
      <c r="I27" s="20">
        <f>41+51.5+134.5+68.5+55.5</f>
        <v>351</v>
      </c>
      <c r="J27" s="20">
        <f>17+224.5+40+43.5</f>
        <v>325</v>
      </c>
      <c r="K27" s="20">
        <f>221.5+158+49.5+465.5+160.5+156.5</f>
        <v>1211.5</v>
      </c>
      <c r="L27" s="20">
        <f>10.5</f>
        <v>10.5</v>
      </c>
      <c r="M27" s="20">
        <f>2100+759.5+1238.5+430.5+464.5</f>
        <v>4993</v>
      </c>
      <c r="N27" s="20">
        <f>69+97+25+30</f>
        <v>221</v>
      </c>
      <c r="O27" s="19">
        <f>193+342+332.5+149</f>
        <v>1016.5</v>
      </c>
      <c r="P27" s="19">
        <f>76</f>
        <v>76</v>
      </c>
      <c r="Q27" s="20">
        <f>27+26+19+89</f>
        <v>161</v>
      </c>
      <c r="R27" s="19"/>
      <c r="S27" s="19">
        <f>33.5+23+57+7.5+9</f>
        <v>130</v>
      </c>
      <c r="T27" s="19">
        <f>712+307+530+272.5+321.5</f>
        <v>2143</v>
      </c>
      <c r="U27" s="19">
        <f>300.5+257.5+462.5+87+245.5</f>
        <v>1353</v>
      </c>
      <c r="V27" s="19">
        <f>29+10</f>
        <v>39</v>
      </c>
      <c r="W27" s="19">
        <f>1</f>
        <v>1</v>
      </c>
      <c r="X27" s="19"/>
      <c r="Y27" s="19"/>
      <c r="Z27" s="19">
        <f>81.5+43.5+353+85</f>
        <v>563</v>
      </c>
      <c r="AA27" s="19">
        <f>76</f>
        <v>76</v>
      </c>
      <c r="AB27" s="19"/>
      <c r="AC27" s="19">
        <f>145.5</f>
        <v>145.5</v>
      </c>
      <c r="AD27" s="19">
        <f>222+32.5</f>
        <v>254.5</v>
      </c>
      <c r="AE27" s="19">
        <f>17+6+4.5</f>
        <v>27.5</v>
      </c>
      <c r="AF27" s="19"/>
      <c r="AG27" s="19">
        <f>1052.5+466+619+605+585</f>
        <v>3327.5</v>
      </c>
      <c r="AH27" s="19">
        <f>23.5+45.5+65.5+95+42+351.5+42.5+13+42.5+81.5+10.5</f>
        <v>813</v>
      </c>
      <c r="AI27" s="19">
        <f>10.5</f>
        <v>10.5</v>
      </c>
      <c r="AJ27" s="19"/>
      <c r="AK27" s="19"/>
      <c r="AL27" s="19">
        <f>438.5+201+495.5+128.5+682</f>
        <v>1945.5</v>
      </c>
      <c r="AM27" s="19">
        <f>38.5+23+25</f>
        <v>86.5</v>
      </c>
      <c r="AN27" s="19"/>
      <c r="AO27" s="19">
        <f>26.5+12.5+23.5+17</f>
        <v>79.5</v>
      </c>
      <c r="AP27" s="19"/>
      <c r="AQ27" s="19">
        <f>253+32+504</f>
        <v>789</v>
      </c>
      <c r="AR27" s="19"/>
      <c r="AS27" s="19">
        <f>40+12</f>
        <v>52</v>
      </c>
      <c r="AT27" s="19"/>
      <c r="AU27" s="19"/>
      <c r="AV27" s="19"/>
      <c r="AW27" s="19"/>
      <c r="AX27" s="19"/>
      <c r="AY27" s="19"/>
      <c r="AZ27" s="19">
        <f>5.5</f>
        <v>5.5</v>
      </c>
      <c r="BA27" s="20"/>
      <c r="BB27" s="19">
        <f>37+138+43+41</f>
        <v>259</v>
      </c>
      <c r="BC27" s="19">
        <f>62+48.5+75.5+104+27</f>
        <v>317</v>
      </c>
      <c r="BD27" s="19">
        <f t="shared" si="0"/>
        <v>37277</v>
      </c>
    </row>
    <row r="28" spans="2:56" ht="15" customHeight="1">
      <c r="B28" s="48"/>
      <c r="C28" s="48"/>
      <c r="D28" s="48"/>
      <c r="E28" s="48"/>
      <c r="F28" s="48"/>
      <c r="G28" s="20"/>
      <c r="H28" s="20"/>
      <c r="I28" s="20"/>
      <c r="J28" s="20"/>
      <c r="K28" s="20"/>
      <c r="L28" s="20"/>
      <c r="M28" s="20"/>
      <c r="N28" s="20"/>
      <c r="O28" s="19"/>
      <c r="P28" s="19"/>
      <c r="Q28" s="20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20"/>
      <c r="BB28" s="19"/>
      <c r="BC28" s="19"/>
      <c r="BD28" s="19">
        <f t="shared" si="0"/>
        <v>0</v>
      </c>
    </row>
    <row r="29" spans="2:56" s="32" customFormat="1" ht="15" customHeight="1">
      <c r="B29" s="47"/>
      <c r="C29" s="47" t="s">
        <v>87</v>
      </c>
      <c r="D29" s="47">
        <v>2019</v>
      </c>
      <c r="E29" s="47" t="s">
        <v>98</v>
      </c>
      <c r="F29" s="47">
        <v>19</v>
      </c>
      <c r="G29" s="20">
        <f>634.5+416.5+176.5+195+25+19.5+599.5+567.5</f>
        <v>2634</v>
      </c>
      <c r="H29" s="20">
        <f>615+18+272.5+4.5+5+81.5+445.5</f>
        <v>1442</v>
      </c>
      <c r="I29" s="20">
        <f>426+61+59.5+159</f>
        <v>705.5</v>
      </c>
      <c r="J29" s="20">
        <f>38.5+17.5+25</f>
        <v>81</v>
      </c>
      <c r="K29" s="20">
        <f>1504+407.5+45.5+1320.5</f>
        <v>3277.5</v>
      </c>
      <c r="L29" s="20">
        <f>66+49+51.5+31.5</f>
        <v>198</v>
      </c>
      <c r="M29" s="20">
        <f>879+159+799</f>
        <v>1837</v>
      </c>
      <c r="N29" s="20">
        <f>156.5+91+55.5+72</f>
        <v>375</v>
      </c>
      <c r="O29" s="19">
        <f>502.5+94.5+35.5+349</f>
        <v>981.5</v>
      </c>
      <c r="P29" s="19"/>
      <c r="Q29" s="20">
        <f>17+16+24</f>
        <v>57</v>
      </c>
      <c r="R29" s="19"/>
      <c r="S29" s="19">
        <f>17+45+3.5</f>
        <v>65.5</v>
      </c>
      <c r="T29" s="19">
        <f>11+115+110.5</f>
        <v>236.5</v>
      </c>
      <c r="U29" s="19">
        <f>82.5+681+108+597.5</f>
        <v>1469</v>
      </c>
      <c r="V29" s="19">
        <f>21+21.5</f>
        <v>42.5</v>
      </c>
      <c r="W29" s="19">
        <f>270.5+53+268.5</f>
        <v>592</v>
      </c>
      <c r="X29" s="19">
        <f>1320.5+293+617.5</f>
        <v>2231</v>
      </c>
      <c r="Y29" s="19">
        <f>654+60+15+264.5</f>
        <v>993.5</v>
      </c>
      <c r="Z29" s="19">
        <f>141.5+41.5+41</f>
        <v>224</v>
      </c>
      <c r="AA29" s="19"/>
      <c r="AB29" s="19"/>
      <c r="AC29" s="19">
        <f>3</f>
        <v>3</v>
      </c>
      <c r="AD29" s="19">
        <f>11.5+18+9+26.5</f>
        <v>65</v>
      </c>
      <c r="AE29" s="19">
        <f>558.5+206.5+30.5+722</f>
        <v>1517.5</v>
      </c>
      <c r="AF29" s="19"/>
      <c r="AG29" s="19">
        <f>443.5+772.5+161.5+52+1066</f>
        <v>2495.5</v>
      </c>
      <c r="AH29" s="19">
        <f>29+147+27.5+115.5</f>
        <v>319</v>
      </c>
      <c r="AI29" s="19">
        <f>39+11+33</f>
        <v>83</v>
      </c>
      <c r="AJ29" s="19">
        <f>16.5+32.5+5</f>
        <v>54</v>
      </c>
      <c r="AK29" s="19"/>
      <c r="AL29" s="19">
        <f>74+199+20+102</f>
        <v>395</v>
      </c>
      <c r="AM29" s="19"/>
      <c r="AN29" s="19"/>
      <c r="AO29" s="19">
        <f>25.5+32</f>
        <v>57.5</v>
      </c>
      <c r="AP29" s="19"/>
      <c r="AQ29" s="19">
        <f>35.5</f>
        <v>35.5</v>
      </c>
      <c r="AR29" s="19">
        <f>36+18+11.5+20.5</f>
        <v>86</v>
      </c>
      <c r="AS29" s="19"/>
      <c r="AT29" s="19">
        <f>10+24.5+14.5</f>
        <v>49</v>
      </c>
      <c r="AU29" s="19"/>
      <c r="AV29" s="19"/>
      <c r="AW29" s="19"/>
      <c r="AX29" s="19">
        <f>102+37.5+63+1462.5+19+154.5+59+307.5+36.5+21+808+31+28.5</f>
        <v>3130</v>
      </c>
      <c r="AY29" s="19">
        <f>164.5+285+147+431.5</f>
        <v>1028</v>
      </c>
      <c r="AZ29" s="19"/>
      <c r="BA29" s="20"/>
      <c r="BB29" s="19">
        <f>77.5+67.5</f>
        <v>145</v>
      </c>
      <c r="BC29" s="19">
        <f>29+7.5+9.5+40</f>
        <v>86</v>
      </c>
      <c r="BD29" s="19">
        <f t="shared" si="0"/>
        <v>26991.5</v>
      </c>
    </row>
    <row r="30" spans="2:56" ht="15" customHeight="1">
      <c r="B30" s="48"/>
      <c r="C30" s="48"/>
      <c r="D30" s="48"/>
      <c r="E30" s="48"/>
      <c r="F30" s="48"/>
      <c r="G30" s="20"/>
      <c r="H30" s="20"/>
      <c r="I30" s="20"/>
      <c r="J30" s="20"/>
      <c r="K30" s="20"/>
      <c r="L30" s="20"/>
      <c r="M30" s="20"/>
      <c r="N30" s="20"/>
      <c r="O30" s="19"/>
      <c r="P30" s="19"/>
      <c r="Q30" s="20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20"/>
      <c r="BB30" s="19"/>
      <c r="BC30" s="19"/>
      <c r="BD30" s="19">
        <f t="shared" si="0"/>
        <v>0</v>
      </c>
    </row>
    <row r="31" spans="2:56" s="32" customFormat="1" ht="15" customHeight="1">
      <c r="B31" s="47"/>
      <c r="C31" s="47" t="s">
        <v>103</v>
      </c>
      <c r="D31" s="47">
        <v>2019</v>
      </c>
      <c r="E31" s="47" t="s">
        <v>98</v>
      </c>
      <c r="F31" s="47">
        <v>20</v>
      </c>
      <c r="G31" s="20">
        <f>463.5+436+1055.5+636+1183+710+1505+1095+165+242</f>
        <v>7491</v>
      </c>
      <c r="H31" s="20">
        <f>377.5+24.5+893+67.5+501+40+164+824.5+32.5+32.5+35.5</f>
        <v>2992.5</v>
      </c>
      <c r="I31" s="20">
        <f>276+358.5+43.5+92+33</f>
        <v>803</v>
      </c>
      <c r="J31" s="20">
        <f>54+43.5+70</f>
        <v>167.5</v>
      </c>
      <c r="K31" s="20">
        <f>631+1008.5+495+1060+83</f>
        <v>3277.5</v>
      </c>
      <c r="L31" s="20">
        <f>16+39+33.5</f>
        <v>88.5</v>
      </c>
      <c r="M31" s="20">
        <f>176.5+242+187+241.5+44</f>
        <v>891</v>
      </c>
      <c r="N31" s="20">
        <f>35+72.5+68+37+68.5</f>
        <v>281</v>
      </c>
      <c r="O31" s="19">
        <f>226.5+567+140+1209+51.5</f>
        <v>2194</v>
      </c>
      <c r="P31" s="19"/>
      <c r="Q31" s="20">
        <f>28+93+12+10.5</f>
        <v>143.5</v>
      </c>
      <c r="R31" s="19"/>
      <c r="S31" s="19">
        <f>53.5+121.5+10+6.5</f>
        <v>191.5</v>
      </c>
      <c r="T31" s="19">
        <f>175+216+131.5+230.5+33</f>
        <v>786</v>
      </c>
      <c r="U31" s="19">
        <f>129+260.5+382.5+1014+69.5</f>
        <v>1855.5</v>
      </c>
      <c r="V31" s="19">
        <f>7+15.5+48+9+5</f>
        <v>84.5</v>
      </c>
      <c r="W31" s="19">
        <f>15.5+9+6+16</f>
        <v>46.5</v>
      </c>
      <c r="X31" s="19">
        <f>180.5+18+7.5</f>
        <v>206</v>
      </c>
      <c r="Y31" s="19">
        <f>54.5+15+10.5</f>
        <v>80</v>
      </c>
      <c r="Z31" s="19">
        <f>35.5+36+133.5+222.5+53.5</f>
        <v>481</v>
      </c>
      <c r="AA31" s="19"/>
      <c r="AB31" s="19"/>
      <c r="AC31" s="19">
        <f>113+472.5</f>
        <v>585.5</v>
      </c>
      <c r="AD31" s="19">
        <f>21+19</f>
        <v>40</v>
      </c>
      <c r="AE31" s="19">
        <f>20.5</f>
        <v>20.5</v>
      </c>
      <c r="AF31" s="19"/>
      <c r="AG31" s="19">
        <f>596+629.5+505+1136+56.5</f>
        <v>2923</v>
      </c>
      <c r="AH31" s="19">
        <f>79.5+10+308.5+9+30.5+54.5+13+16.5+16.5+267.5+32+45.5+37+9</f>
        <v>929</v>
      </c>
      <c r="AI31" s="19">
        <f>13+45+20</f>
        <v>78</v>
      </c>
      <c r="AJ31" s="19"/>
      <c r="AK31" s="19"/>
      <c r="AL31" s="19">
        <f>161+253+162.5+247.5+29</f>
        <v>853</v>
      </c>
      <c r="AM31" s="19">
        <f>14+41.5+54.5+18.5</f>
        <v>128.5</v>
      </c>
      <c r="AN31" s="19"/>
      <c r="AO31" s="19">
        <f>22+13+10</f>
        <v>45</v>
      </c>
      <c r="AP31" s="19"/>
      <c r="AQ31" s="19">
        <f>53.5+114.5+18.5+8.5</f>
        <v>195</v>
      </c>
      <c r="AR31" s="19"/>
      <c r="AS31" s="19">
        <f>89+65.5</f>
        <v>154.5</v>
      </c>
      <c r="AT31" s="19"/>
      <c r="AU31" s="19"/>
      <c r="AV31" s="19"/>
      <c r="AW31" s="19"/>
      <c r="AX31" s="19">
        <f>316.5+25.5+12+35+12.5</f>
        <v>401.5</v>
      </c>
      <c r="AY31" s="19">
        <f>16.5+34.5+7+30</f>
        <v>88</v>
      </c>
      <c r="AZ31" s="19"/>
      <c r="BA31" s="20"/>
      <c r="BB31" s="19">
        <f>44.5+103+43</f>
        <v>190.5</v>
      </c>
      <c r="BC31" s="19">
        <f>107+175.5+115+66+30.5</f>
        <v>494</v>
      </c>
      <c r="BD31" s="19">
        <f t="shared" si="0"/>
        <v>29186.5</v>
      </c>
    </row>
    <row r="32" spans="2:56" ht="15" customHeight="1">
      <c r="B32" s="48"/>
      <c r="C32" s="48"/>
      <c r="D32" s="48"/>
      <c r="E32" s="48"/>
      <c r="F32" s="48"/>
      <c r="G32" s="20"/>
      <c r="H32" s="20"/>
      <c r="I32" s="20"/>
      <c r="J32" s="20"/>
      <c r="K32" s="20"/>
      <c r="L32" s="20"/>
      <c r="M32" s="20"/>
      <c r="N32" s="20"/>
      <c r="O32" s="19"/>
      <c r="P32" s="19"/>
      <c r="Q32" s="20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20"/>
      <c r="BB32" s="19"/>
      <c r="BC32" s="19"/>
      <c r="BD32" s="19">
        <f t="shared" si="0"/>
        <v>0</v>
      </c>
    </row>
    <row r="33" spans="2:58" s="32" customFormat="1" ht="15" customHeight="1">
      <c r="B33" s="47"/>
      <c r="C33" s="47" t="s">
        <v>91</v>
      </c>
      <c r="D33" s="47">
        <v>2019</v>
      </c>
      <c r="E33" s="47" t="s">
        <v>104</v>
      </c>
      <c r="F33" s="47">
        <v>13</v>
      </c>
      <c r="G33" s="20">
        <f>178+70+51.5+33+135+155+172+222</f>
        <v>1016.5</v>
      </c>
      <c r="H33" s="20">
        <f>150+32.5+12.5+47.5+18.5+82</f>
        <v>343</v>
      </c>
      <c r="I33" s="20">
        <f>23+12+49</f>
        <v>84</v>
      </c>
      <c r="J33" s="20">
        <f>9+9</f>
        <v>18</v>
      </c>
      <c r="K33" s="20">
        <f>117+49+76.5+121</f>
        <v>363.5</v>
      </c>
      <c r="L33" s="20">
        <f>9.5</f>
        <v>9.5</v>
      </c>
      <c r="M33" s="20">
        <f>216.5+78</f>
        <v>294.5</v>
      </c>
      <c r="N33" s="20">
        <f>11+17+14</f>
        <v>42</v>
      </c>
      <c r="O33" s="19">
        <f>917.5+58</f>
        <v>975.5</v>
      </c>
      <c r="P33" s="19">
        <f>7.5</f>
        <v>7.5</v>
      </c>
      <c r="Q33" s="20">
        <f>29.5+11</f>
        <v>40.5</v>
      </c>
      <c r="R33" s="19"/>
      <c r="S33" s="19">
        <f>17.5+1.5</f>
        <v>19</v>
      </c>
      <c r="T33" s="19">
        <f>114+126.5+82.5+30.5</f>
        <v>353.5</v>
      </c>
      <c r="U33" s="19">
        <f>789+900+475.5+475</f>
        <v>2639.5</v>
      </c>
      <c r="V33" s="19">
        <f>852.5+195+36+25.5</f>
        <v>1109</v>
      </c>
      <c r="W33" s="19"/>
      <c r="X33" s="19">
        <f>632.5+983.5+343+130</f>
        <v>2089</v>
      </c>
      <c r="Y33" s="19">
        <f>546+1952.5+769.5+325.5</f>
        <v>3593.5</v>
      </c>
      <c r="Z33" s="19">
        <f>35+15+11</f>
        <v>61</v>
      </c>
      <c r="AA33" s="19"/>
      <c r="AB33" s="19"/>
      <c r="AC33" s="19">
        <f>9</f>
        <v>9</v>
      </c>
      <c r="AD33" s="19">
        <f>90.5+463+288.5+118.5</f>
        <v>960.5</v>
      </c>
      <c r="AE33" s="19"/>
      <c r="AF33" s="19"/>
      <c r="AG33" s="19">
        <f>750.5+269.5+556</f>
        <v>1576</v>
      </c>
      <c r="AH33" s="19">
        <f>149.5+292.5+97.5+268+9.5+18+16.5+6+175.5+12</f>
        <v>1045</v>
      </c>
      <c r="AI33" s="19">
        <f>4+5.5</f>
        <v>9.5</v>
      </c>
      <c r="AJ33" s="19">
        <f>56+23.5</f>
        <v>79.5</v>
      </c>
      <c r="AK33" s="19">
        <f>111+48+41</f>
        <v>200</v>
      </c>
      <c r="AL33" s="19">
        <f>448+262+92.5+126.5</f>
        <v>929</v>
      </c>
      <c r="AM33" s="19">
        <f>32+37+28+20</f>
        <v>117</v>
      </c>
      <c r="AN33" s="19"/>
      <c r="AO33" s="19">
        <f>7.5</f>
        <v>7.5</v>
      </c>
      <c r="AP33" s="19"/>
      <c r="AQ33" s="19">
        <f>11.5</f>
        <v>11.5</v>
      </c>
      <c r="AR33" s="19"/>
      <c r="AS33" s="19"/>
      <c r="AT33" s="19"/>
      <c r="AU33" s="19"/>
      <c r="AV33" s="19"/>
      <c r="AW33" s="19">
        <f>8</f>
        <v>8</v>
      </c>
      <c r="AX33" s="19">
        <f>576+71.5+38+2616+119+337+19.5+55+109+838+77.5+78.5+427+27+26.5</f>
        <v>5415.5</v>
      </c>
      <c r="AY33" s="19">
        <f>376+559+189+101.5</f>
        <v>1225.5</v>
      </c>
      <c r="AZ33" s="19"/>
      <c r="BA33" s="20"/>
      <c r="BB33" s="19"/>
      <c r="BC33" s="19">
        <f>12+8.5</f>
        <v>20.5</v>
      </c>
      <c r="BD33" s="19">
        <f t="shared" si="0"/>
        <v>24673</v>
      </c>
    </row>
    <row r="34" spans="2:58" ht="15" customHeight="1">
      <c r="B34" s="48"/>
      <c r="C34" s="48"/>
      <c r="D34" s="48"/>
      <c r="E34" s="48"/>
      <c r="F34" s="48"/>
      <c r="G34" s="20"/>
      <c r="H34" s="20"/>
      <c r="I34" s="20"/>
      <c r="J34" s="20"/>
      <c r="K34" s="20"/>
      <c r="L34" s="20"/>
      <c r="M34" s="20"/>
      <c r="N34" s="20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20"/>
      <c r="BB34" s="19"/>
      <c r="BC34" s="19"/>
      <c r="BD34" s="19">
        <f t="shared" si="0"/>
        <v>0</v>
      </c>
    </row>
    <row r="35" spans="2:58" s="32" customFormat="1" ht="15" customHeight="1">
      <c r="B35" s="47"/>
      <c r="C35" s="47" t="s">
        <v>102</v>
      </c>
      <c r="D35" s="47">
        <v>2019</v>
      </c>
      <c r="E35" s="47" t="s">
        <v>104</v>
      </c>
      <c r="F35" s="47">
        <v>17</v>
      </c>
      <c r="G35" s="20">
        <f>284.5+654+478+692.5</f>
        <v>2109</v>
      </c>
      <c r="H35" s="20">
        <f>80+2117+117.5+121+577.5+20.5</f>
        <v>3033.5</v>
      </c>
      <c r="I35" s="20">
        <f>9.5+27</f>
        <v>36.5</v>
      </c>
      <c r="J35" s="20">
        <f>4</f>
        <v>4</v>
      </c>
      <c r="K35" s="20">
        <f>10+41</f>
        <v>51</v>
      </c>
      <c r="L35" s="20"/>
      <c r="M35" s="20">
        <f>391+249+11</f>
        <v>651</v>
      </c>
      <c r="N35" s="20">
        <f>54+12.5+14</f>
        <v>80.5</v>
      </c>
      <c r="O35" s="19">
        <f>47.5+148+8</f>
        <v>203.5</v>
      </c>
      <c r="P35" s="19"/>
      <c r="Q35" s="20">
        <f>3</f>
        <v>3</v>
      </c>
      <c r="R35" s="19"/>
      <c r="S35" s="19">
        <f>37</f>
        <v>37</v>
      </c>
      <c r="T35" s="19">
        <f>133.5+149+9.5+76+20+20.5</f>
        <v>408.5</v>
      </c>
      <c r="U35" s="19">
        <f>744.5+749+28+404.5</f>
        <v>1926</v>
      </c>
      <c r="V35" s="19">
        <f>43+18.5+109.5+239+304+492.5+8.5+131.5</f>
        <v>1346.5</v>
      </c>
      <c r="W35" s="19">
        <f>9.5+4.5</f>
        <v>14</v>
      </c>
      <c r="X35" s="19"/>
      <c r="Y35" s="19">
        <f>41.5+24.5</f>
        <v>66</v>
      </c>
      <c r="Z35" s="19">
        <f>142+32</f>
        <v>174</v>
      </c>
      <c r="AA35" s="19">
        <f>1</f>
        <v>1</v>
      </c>
      <c r="AB35" s="19"/>
      <c r="AC35" s="19">
        <f>58.5</f>
        <v>58.5</v>
      </c>
      <c r="AD35" s="19">
        <f>380+190.5+158.5+9</f>
        <v>738</v>
      </c>
      <c r="AE35" s="19">
        <f>8</f>
        <v>8</v>
      </c>
      <c r="AF35" s="19"/>
      <c r="AG35" s="19">
        <f>2066.5+1488.5+1413.5+53.5</f>
        <v>5022</v>
      </c>
      <c r="AH35" s="19">
        <f>38+18+22+57.5+72.5+32.5+487+25+22+162</f>
        <v>936.5</v>
      </c>
      <c r="AI35" s="19">
        <f>6</f>
        <v>6</v>
      </c>
      <c r="AJ35" s="19"/>
      <c r="AK35" s="19"/>
      <c r="AL35" s="19">
        <f>246+198+30+133.5</f>
        <v>607.5</v>
      </c>
      <c r="AM35" s="19">
        <f>23.5+86+72+67</f>
        <v>248.5</v>
      </c>
      <c r="AN35" s="19"/>
      <c r="AO35" s="19">
        <f>53.5+19+14</f>
        <v>86.5</v>
      </c>
      <c r="AP35" s="19"/>
      <c r="AQ35" s="19">
        <f>45+70+31</f>
        <v>146</v>
      </c>
      <c r="AR35" s="19"/>
      <c r="AS35" s="19">
        <f>13.5+75.5</f>
        <v>89</v>
      </c>
      <c r="AT35" s="19"/>
      <c r="AU35" s="19"/>
      <c r="AV35" s="19"/>
      <c r="AW35" s="19">
        <f>51+47</f>
        <v>98</v>
      </c>
      <c r="AX35" s="19">
        <f>212.5+328.5+798+60.5+107+99+268.5+36.5+29+36.5+5.5+5</f>
        <v>1986.5</v>
      </c>
      <c r="AY35" s="19">
        <f>450.5+1594+64+1309.5+365.5+83</f>
        <v>3866.5</v>
      </c>
      <c r="AZ35" s="19">
        <f>5</f>
        <v>5</v>
      </c>
      <c r="BA35" s="20"/>
      <c r="BB35" s="19"/>
      <c r="BC35" s="19">
        <f>8+19.5+14.5</f>
        <v>42</v>
      </c>
      <c r="BD35" s="19">
        <f t="shared" si="0"/>
        <v>24089.5</v>
      </c>
    </row>
    <row r="36" spans="2:58" ht="15" customHeight="1">
      <c r="B36" s="48"/>
      <c r="C36" s="48"/>
      <c r="D36" s="48"/>
      <c r="E36" s="48"/>
      <c r="F36" s="48"/>
      <c r="G36" s="20"/>
      <c r="H36" s="20"/>
      <c r="I36" s="20"/>
      <c r="J36" s="20"/>
      <c r="K36" s="20"/>
      <c r="L36" s="20"/>
      <c r="M36" s="20"/>
      <c r="N36" s="20"/>
      <c r="O36" s="19"/>
      <c r="P36" s="19"/>
      <c r="Q36" s="20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20"/>
      <c r="BB36" s="19"/>
      <c r="BC36" s="19"/>
      <c r="BD36" s="19">
        <f t="shared" si="0"/>
        <v>0</v>
      </c>
    </row>
    <row r="37" spans="2:58" s="32" customFormat="1" ht="15" customHeight="1">
      <c r="B37" s="47"/>
      <c r="C37" s="47" t="s">
        <v>105</v>
      </c>
      <c r="D37" s="47">
        <v>2019</v>
      </c>
      <c r="E37" s="47" t="s">
        <v>104</v>
      </c>
      <c r="F37" s="47">
        <v>18</v>
      </c>
      <c r="G37" s="20">
        <f>739.5+337+377+514.5+671.5+563.5+946.5+833+993+851.5+795.5+515+226.5+243.5</f>
        <v>8607.5</v>
      </c>
      <c r="H37" s="20">
        <f>690+13.5+67+81.5+46.5+101.5+1156+67+90.5+1284.5+216+133.5+1386.5+65+45.5+667+30+14+182.5+28</f>
        <v>6366</v>
      </c>
      <c r="I37" s="20">
        <f>89+140+239+259.5+116+232.5+173.5</f>
        <v>1249.5</v>
      </c>
      <c r="J37" s="20">
        <f>26</f>
        <v>26</v>
      </c>
      <c r="K37" s="20">
        <f>23.5+57.5+156.5+597+216.5+41+61.5</f>
        <v>1153.5</v>
      </c>
      <c r="L37" s="20">
        <f>29+36.5+9+4.5</f>
        <v>79</v>
      </c>
      <c r="M37" s="20">
        <f>166+125.5+87.5+245+307.5+241+55.5</f>
        <v>1228</v>
      </c>
      <c r="N37" s="20">
        <f>47+23+62+100+33+64+78</f>
        <v>407</v>
      </c>
      <c r="O37" s="19">
        <f>248+173.5+286+410+351.5+600.5+348.5</f>
        <v>2418</v>
      </c>
      <c r="P37" s="19"/>
      <c r="Q37" s="20">
        <f>78+83+109.5+168.5+96+122.5+94</f>
        <v>751.5</v>
      </c>
      <c r="R37" s="19"/>
      <c r="S37" s="19">
        <f>20.5+68.5+134.5+82.5+14+93+18</f>
        <v>431</v>
      </c>
      <c r="T37" s="19">
        <f>86+46+183+86.5+211.5+86+77.5</f>
        <v>776.5</v>
      </c>
      <c r="U37" s="19">
        <f>138+35+203.5+289+450.5+75.5+76.5</f>
        <v>1268</v>
      </c>
      <c r="V37" s="19">
        <f>87.5+13+9+8.5+60+5</f>
        <v>183</v>
      </c>
      <c r="W37" s="19">
        <f>4+10+8.5+2.5</f>
        <v>25</v>
      </c>
      <c r="X37" s="19">
        <f>52.5+22.5+66.5</f>
        <v>141.5</v>
      </c>
      <c r="Y37" s="19">
        <f>88.5+34+16.5+14</f>
        <v>153</v>
      </c>
      <c r="Z37" s="19">
        <f>70+28+55+120+76.5+54.5</f>
        <v>404</v>
      </c>
      <c r="AA37" s="19">
        <f>121.5</f>
        <v>121.5</v>
      </c>
      <c r="AB37" s="19"/>
      <c r="AC37" s="19">
        <f>78+191+514+113.5+162+313.5+353.5</f>
        <v>1725.5</v>
      </c>
      <c r="AD37" s="19">
        <f>1514+7+418+33+69+41.5+7</f>
        <v>2089.5</v>
      </c>
      <c r="AE37" s="19">
        <f>30+37.5+86.5+151.5+17.5+27.5+71</f>
        <v>421.5</v>
      </c>
      <c r="AF37" s="19"/>
      <c r="AG37" s="19">
        <f>1429+86.5+920.5+382+951+293.5+56.5</f>
        <v>4119</v>
      </c>
      <c r="AH37" s="19">
        <f>103+60.5+29+155.5+349.5+6.5+232.5+53+8+365+30.5+13.5+92.5+43.5+122+37</f>
        <v>1701.5</v>
      </c>
      <c r="AI37" s="19">
        <f>8+11+6</f>
        <v>25</v>
      </c>
      <c r="AJ37" s="19"/>
      <c r="AK37" s="19"/>
      <c r="AL37" s="19">
        <f>361+88+514+137.5+233.5+107.5+123.5</f>
        <v>1565</v>
      </c>
      <c r="AM37" s="19">
        <f>140.5+14.5+168.5+94+32+36+4</f>
        <v>489.5</v>
      </c>
      <c r="AN37" s="19"/>
      <c r="AO37" s="19">
        <f>8+18</f>
        <v>26</v>
      </c>
      <c r="AP37" s="19"/>
      <c r="AQ37" s="19">
        <f>38.5+158+8.5+3</f>
        <v>208</v>
      </c>
      <c r="AR37" s="19">
        <f>4.5</f>
        <v>4.5</v>
      </c>
      <c r="AS37" s="19">
        <f>5.5+47+68+18+116.5+82.5</f>
        <v>337.5</v>
      </c>
      <c r="AT37" s="19"/>
      <c r="AU37" s="19"/>
      <c r="AV37" s="19"/>
      <c r="AW37" s="19">
        <f>36.5+13.5+36+8+2</f>
        <v>96</v>
      </c>
      <c r="AX37" s="19">
        <f>622+67.5+74.5+33+14+7.5+15+276.5+39.5+15+25+54.5+27.5+7+9.5+18+26+14+31+18+13.5</f>
        <v>1408.5</v>
      </c>
      <c r="AY37" s="19">
        <f>959.5+50+521+399.5+217+210+52</f>
        <v>2409</v>
      </c>
      <c r="AZ37" s="19">
        <f>7.5</f>
        <v>7.5</v>
      </c>
      <c r="BA37" s="20">
        <f>4.5+7.5</f>
        <v>12</v>
      </c>
      <c r="BB37" s="19">
        <f>63+86+83+48.5+41.5</f>
        <v>322</v>
      </c>
      <c r="BC37" s="19">
        <f>55.5+91+186+197+127.5+97+61.5</f>
        <v>815.5</v>
      </c>
      <c r="BD37" s="19">
        <f t="shared" si="0"/>
        <v>43572.5</v>
      </c>
    </row>
    <row r="38" spans="2:58" ht="15" customHeight="1">
      <c r="B38" s="48"/>
      <c r="C38" s="48"/>
      <c r="D38" s="48"/>
      <c r="E38" s="48"/>
      <c r="F38" s="48"/>
      <c r="G38" s="20"/>
      <c r="H38" s="20"/>
      <c r="I38" s="20"/>
      <c r="J38" s="20"/>
      <c r="K38" s="20"/>
      <c r="L38" s="20"/>
      <c r="M38" s="20"/>
      <c r="N38" s="20"/>
      <c r="O38" s="19"/>
      <c r="P38" s="19"/>
      <c r="Q38" s="20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20"/>
      <c r="BB38" s="19"/>
      <c r="BC38" s="19"/>
      <c r="BD38" s="19">
        <f t="shared" si="0"/>
        <v>0</v>
      </c>
    </row>
    <row r="39" spans="2:58" s="32" customFormat="1" ht="15" customHeight="1">
      <c r="B39" s="47"/>
      <c r="C39" s="47" t="s">
        <v>77</v>
      </c>
      <c r="D39" s="47">
        <v>2019</v>
      </c>
      <c r="E39" s="47" t="s">
        <v>104</v>
      </c>
      <c r="F39" s="47">
        <v>20</v>
      </c>
      <c r="G39" s="20">
        <f>12+650+210+170.5+772.5+167+26.5</f>
        <v>2008.5</v>
      </c>
      <c r="H39" s="20">
        <f>11+26.5+4</f>
        <v>41.5</v>
      </c>
      <c r="I39" s="20">
        <f>3.5+472+580.5+156.5</f>
        <v>1212.5</v>
      </c>
      <c r="J39" s="20"/>
      <c r="K39" s="20">
        <f>21.5+855+753+37+345.5</f>
        <v>2012</v>
      </c>
      <c r="L39" s="20">
        <f>20+7</f>
        <v>27</v>
      </c>
      <c r="M39" s="20">
        <f>308.5+148.5+84.5</f>
        <v>541.5</v>
      </c>
      <c r="N39" s="20">
        <f>8.5+43+16.5</f>
        <v>68</v>
      </c>
      <c r="O39" s="19">
        <f>17+4.5+672+526.5+314.5</f>
        <v>1534.5</v>
      </c>
      <c r="P39" s="19">
        <f>29</f>
        <v>29</v>
      </c>
      <c r="Q39" s="20">
        <f>69+19+9</f>
        <v>97</v>
      </c>
      <c r="R39" s="19"/>
      <c r="S39" s="19">
        <f>19</f>
        <v>19</v>
      </c>
      <c r="T39" s="19">
        <f>15+165.5+107.5+5+115.5</f>
        <v>408.5</v>
      </c>
      <c r="U39" s="19">
        <f>31.5+577.5+309+49.5+506.5</f>
        <v>1474</v>
      </c>
      <c r="V39" s="19">
        <f>640.5+32.5+307.5+13.5+28+349.5+17.5</f>
        <v>1389</v>
      </c>
      <c r="W39" s="19">
        <f>6.5</f>
        <v>6.5</v>
      </c>
      <c r="X39" s="19">
        <f>3155.5+1295.5+20+1879.5</f>
        <v>6350.5</v>
      </c>
      <c r="Y39" s="19">
        <f>178.5+94.5+341.5</f>
        <v>614.5</v>
      </c>
      <c r="Z39" s="19"/>
      <c r="AA39" s="19"/>
      <c r="AB39" s="19">
        <f>6+8.5+9.5</f>
        <v>24</v>
      </c>
      <c r="AC39" s="19"/>
      <c r="AD39" s="19">
        <f>107.5+42+13.5+194</f>
        <v>357</v>
      </c>
      <c r="AE39" s="19"/>
      <c r="AF39" s="19"/>
      <c r="AG39" s="19">
        <f>20+763.5+150+26.5+439.5+70.5</f>
        <v>1470</v>
      </c>
      <c r="AH39" s="19">
        <f>32.5+219+247+13+19.5+12.5</f>
        <v>543.5</v>
      </c>
      <c r="AI39" s="19">
        <f>3.5</f>
        <v>3.5</v>
      </c>
      <c r="AJ39" s="19">
        <f>19.5+21+18.5</f>
        <v>59</v>
      </c>
      <c r="AK39" s="19">
        <f>10.5</f>
        <v>10.5</v>
      </c>
      <c r="AL39" s="19">
        <f>34.5+485+374+34+252</f>
        <v>1179.5</v>
      </c>
      <c r="AM39" s="19">
        <f>5+32</f>
        <v>37</v>
      </c>
      <c r="AN39" s="19"/>
      <c r="AO39" s="19">
        <f>7.5+11</f>
        <v>18.5</v>
      </c>
      <c r="AP39" s="19"/>
      <c r="AQ39" s="19"/>
      <c r="AR39" s="19"/>
      <c r="AS39" s="19"/>
      <c r="AT39" s="19"/>
      <c r="AU39" s="19"/>
      <c r="AV39" s="19"/>
      <c r="AW39" s="19"/>
      <c r="AX39" s="19">
        <f>1870+246.5+27.5+447+59+40+1314.5+70.5+23+11+44+389.5+2086+40+38</f>
        <v>6706.5</v>
      </c>
      <c r="AY39" s="19">
        <f>556.5+647.5+27+563</f>
        <v>1794</v>
      </c>
      <c r="AZ39" s="19"/>
      <c r="BA39" s="20"/>
      <c r="BB39" s="19">
        <f>38</f>
        <v>38</v>
      </c>
      <c r="BC39" s="19">
        <f>30+29+10</f>
        <v>69</v>
      </c>
      <c r="BD39" s="19">
        <f t="shared" si="0"/>
        <v>30143.5</v>
      </c>
    </row>
    <row r="40" spans="2:58" ht="15" customHeight="1">
      <c r="B40" s="48"/>
      <c r="C40" s="48"/>
      <c r="D40" s="48"/>
      <c r="E40" s="48"/>
      <c r="F40" s="48"/>
      <c r="G40" s="20"/>
      <c r="H40" s="20"/>
      <c r="I40" s="20"/>
      <c r="J40" s="20"/>
      <c r="K40" s="20"/>
      <c r="L40" s="20"/>
      <c r="M40" s="20"/>
      <c r="N40" s="20"/>
      <c r="O40" s="19"/>
      <c r="P40" s="19"/>
      <c r="Q40" s="20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20"/>
      <c r="BB40" s="19"/>
      <c r="BC40" s="19"/>
      <c r="BD40" s="19">
        <f t="shared" si="0"/>
        <v>0</v>
      </c>
    </row>
    <row r="41" spans="2:58" ht="15" customHeight="1">
      <c r="B41" s="47"/>
      <c r="C41" s="47"/>
      <c r="D41" s="47"/>
      <c r="E41" s="47"/>
      <c r="F41" s="47"/>
      <c r="G41" s="20"/>
      <c r="H41" s="20"/>
      <c r="I41" s="20"/>
      <c r="J41" s="20"/>
      <c r="K41" s="20"/>
      <c r="L41" s="20"/>
      <c r="M41" s="20"/>
      <c r="N41" s="20"/>
      <c r="O41" s="19"/>
      <c r="P41" s="19"/>
      <c r="Q41" s="20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20"/>
      <c r="BB41" s="19"/>
      <c r="BC41" s="19"/>
      <c r="BD41" s="19">
        <f t="shared" si="0"/>
        <v>0</v>
      </c>
    </row>
    <row r="42" spans="2:58" ht="15" customHeight="1">
      <c r="B42" s="48"/>
      <c r="C42" s="48"/>
      <c r="D42" s="48"/>
      <c r="E42" s="48"/>
      <c r="F42" s="48"/>
      <c r="G42" s="20"/>
      <c r="H42" s="20"/>
      <c r="I42" s="20"/>
      <c r="J42" s="20"/>
      <c r="K42" s="20"/>
      <c r="L42" s="20"/>
      <c r="M42" s="20"/>
      <c r="N42" s="20"/>
      <c r="O42" s="19"/>
      <c r="P42" s="19"/>
      <c r="Q42" s="20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20"/>
      <c r="BB42" s="19"/>
      <c r="BC42" s="19"/>
      <c r="BD42" s="19">
        <f t="shared" si="0"/>
        <v>0</v>
      </c>
    </row>
    <row r="43" spans="2:58" ht="15" customHeight="1">
      <c r="B43" s="47"/>
      <c r="C43" s="52"/>
      <c r="D43" s="52"/>
      <c r="E43" s="52"/>
      <c r="F43" s="52"/>
      <c r="G43" s="20"/>
      <c r="H43" s="20"/>
      <c r="I43" s="20"/>
      <c r="J43" s="20"/>
      <c r="K43" s="20"/>
      <c r="L43" s="20"/>
      <c r="M43" s="20"/>
      <c r="N43" s="20"/>
      <c r="O43" s="19"/>
      <c r="P43" s="19"/>
      <c r="Q43" s="20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20"/>
      <c r="BB43" s="19"/>
      <c r="BC43" s="19"/>
      <c r="BD43" s="19">
        <f t="shared" si="0"/>
        <v>0</v>
      </c>
    </row>
    <row r="44" spans="2:58" ht="15" customHeight="1" thickBot="1">
      <c r="B44" s="48"/>
      <c r="C44" s="53"/>
      <c r="D44" s="53"/>
      <c r="E44" s="53"/>
      <c r="F44" s="53"/>
      <c r="G44" s="20"/>
      <c r="H44" s="20"/>
      <c r="I44" s="20"/>
      <c r="J44" s="20"/>
      <c r="K44" s="20"/>
      <c r="L44" s="20"/>
      <c r="M44" s="20"/>
      <c r="N44" s="20"/>
      <c r="O44" s="19"/>
      <c r="P44" s="19"/>
      <c r="Q44" s="20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20"/>
      <c r="BB44" s="19"/>
      <c r="BC44" s="19"/>
      <c r="BD44" s="19">
        <f t="shared" si="0"/>
        <v>0</v>
      </c>
    </row>
    <row r="45" spans="2:58" ht="15" customHeight="1" thickBot="1">
      <c r="B45" s="85" t="s">
        <v>30</v>
      </c>
      <c r="C45" s="86"/>
      <c r="D45" s="2"/>
      <c r="E45" s="2"/>
      <c r="F45" s="2"/>
      <c r="G45" s="21">
        <f t="shared" ref="G45:AL45" si="1">SUM(G7:G44)</f>
        <v>81425.5</v>
      </c>
      <c r="H45" s="21">
        <f t="shared" si="1"/>
        <v>30084</v>
      </c>
      <c r="I45" s="21">
        <f>SUM(I7:I44)</f>
        <v>12257</v>
      </c>
      <c r="J45" s="21">
        <f t="shared" si="1"/>
        <v>4021.5</v>
      </c>
      <c r="K45" s="21">
        <f t="shared" si="1"/>
        <v>35708.5</v>
      </c>
      <c r="L45" s="21">
        <f t="shared" si="1"/>
        <v>1141.5</v>
      </c>
      <c r="M45" s="21">
        <f t="shared" si="1"/>
        <v>18429.5</v>
      </c>
      <c r="N45" s="21">
        <f t="shared" si="1"/>
        <v>3301.5</v>
      </c>
      <c r="O45" s="21">
        <f t="shared" si="1"/>
        <v>21034</v>
      </c>
      <c r="P45" s="21">
        <f t="shared" si="1"/>
        <v>3694.5</v>
      </c>
      <c r="Q45" s="21">
        <f t="shared" si="1"/>
        <v>2894</v>
      </c>
      <c r="R45" s="21">
        <f t="shared" si="1"/>
        <v>3</v>
      </c>
      <c r="S45" s="21">
        <f t="shared" si="1"/>
        <v>1786</v>
      </c>
      <c r="T45" s="21">
        <f t="shared" si="1"/>
        <v>11002.5</v>
      </c>
      <c r="U45" s="21">
        <f t="shared" si="1"/>
        <v>29651.5</v>
      </c>
      <c r="V45" s="21">
        <f t="shared" si="1"/>
        <v>6497.5</v>
      </c>
      <c r="W45" s="21">
        <f t="shared" si="1"/>
        <v>1176</v>
      </c>
      <c r="X45" s="21">
        <f t="shared" si="1"/>
        <v>31737.5</v>
      </c>
      <c r="Y45" s="21">
        <f t="shared" si="1"/>
        <v>16042.5</v>
      </c>
      <c r="Z45" s="21">
        <f t="shared" si="1"/>
        <v>3639.5</v>
      </c>
      <c r="AA45" s="21">
        <f t="shared" si="1"/>
        <v>1401.5</v>
      </c>
      <c r="AB45" s="21">
        <f t="shared" si="1"/>
        <v>30.5</v>
      </c>
      <c r="AC45" s="21">
        <f t="shared" si="1"/>
        <v>4544.5</v>
      </c>
      <c r="AD45" s="21">
        <f t="shared" si="1"/>
        <v>6730</v>
      </c>
      <c r="AE45" s="21">
        <f t="shared" si="1"/>
        <v>2914.5</v>
      </c>
      <c r="AF45" s="21">
        <f t="shared" si="1"/>
        <v>0</v>
      </c>
      <c r="AG45" s="21">
        <f t="shared" si="1"/>
        <v>48701</v>
      </c>
      <c r="AH45" s="21">
        <f t="shared" si="1"/>
        <v>15129.5</v>
      </c>
      <c r="AI45" s="21">
        <f t="shared" si="1"/>
        <v>872</v>
      </c>
      <c r="AJ45" s="21">
        <f t="shared" si="1"/>
        <v>213.5</v>
      </c>
      <c r="AK45" s="21">
        <f t="shared" si="1"/>
        <v>581</v>
      </c>
      <c r="AL45" s="21">
        <f t="shared" si="1"/>
        <v>17329</v>
      </c>
      <c r="AM45" s="21">
        <f t="shared" ref="AM45:BC45" si="2">SUM(AM7:AM44)</f>
        <v>1871</v>
      </c>
      <c r="AN45" s="21">
        <f t="shared" si="2"/>
        <v>0</v>
      </c>
      <c r="AO45" s="21">
        <f t="shared" si="2"/>
        <v>581</v>
      </c>
      <c r="AP45" s="21">
        <f t="shared" si="2"/>
        <v>0</v>
      </c>
      <c r="AQ45" s="21">
        <f t="shared" si="2"/>
        <v>3162.5</v>
      </c>
      <c r="AR45" s="21">
        <f t="shared" si="2"/>
        <v>106.5</v>
      </c>
      <c r="AS45" s="21">
        <f t="shared" si="2"/>
        <v>1147.5</v>
      </c>
      <c r="AT45" s="21">
        <f t="shared" si="2"/>
        <v>132</v>
      </c>
      <c r="AU45" s="21">
        <f t="shared" si="2"/>
        <v>15.5</v>
      </c>
      <c r="AV45" s="21">
        <f t="shared" si="2"/>
        <v>173</v>
      </c>
      <c r="AW45" s="21">
        <f t="shared" si="2"/>
        <v>513.5</v>
      </c>
      <c r="AX45" s="21">
        <f t="shared" si="2"/>
        <v>49407</v>
      </c>
      <c r="AY45" s="21">
        <f t="shared" si="2"/>
        <v>17023.5</v>
      </c>
      <c r="AZ45" s="21">
        <f t="shared" si="2"/>
        <v>18</v>
      </c>
      <c r="BA45" s="21">
        <f t="shared" si="2"/>
        <v>12</v>
      </c>
      <c r="BB45" s="21">
        <f t="shared" si="2"/>
        <v>1994</v>
      </c>
      <c r="BC45" s="21">
        <f t="shared" si="2"/>
        <v>3065.5</v>
      </c>
      <c r="BD45" s="22">
        <f t="shared" si="0"/>
        <v>493197</v>
      </c>
    </row>
    <row r="46" spans="2:58" ht="15" customHeight="1"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</row>
    <row r="47" spans="2:58" ht="15" customHeight="1"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F47" s="17"/>
    </row>
    <row r="48" spans="2:58" ht="15" customHeight="1"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F48" s="17"/>
    </row>
    <row r="49" spans="15:56" ht="15" customHeight="1"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  <row r="50" spans="15:56" ht="15" customHeight="1"/>
    <row r="51" spans="15:56" ht="15" customHeight="1"/>
    <row r="52" spans="15:56" ht="15" customHeight="1"/>
    <row r="53" spans="15:56" ht="15" customHeight="1"/>
    <row r="54" spans="15:56" ht="15" customHeight="1"/>
    <row r="55" spans="15:56" ht="15" customHeight="1"/>
    <row r="56" spans="15:56" ht="15" customHeight="1"/>
    <row r="57" spans="15:56" ht="15" customHeight="1"/>
    <row r="58" spans="15:56" ht="15" customHeight="1"/>
    <row r="59" spans="15:56" ht="15" customHeight="1"/>
    <row r="60" spans="15:56" ht="15" customHeight="1"/>
    <row r="61" spans="15:56" ht="15" customHeight="1"/>
    <row r="62" spans="15:56" ht="15" customHeight="1"/>
    <row r="63" spans="15:56" ht="15" customHeight="1"/>
    <row r="64" spans="15:56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spans="2:6" ht="15" customHeight="1"/>
    <row r="210" spans="2:6" ht="15" customHeight="1"/>
    <row r="211" spans="2:6" ht="15" customHeight="1"/>
    <row r="212" spans="2:6" ht="15" customHeight="1"/>
    <row r="213" spans="2:6" ht="15" customHeight="1"/>
    <row r="214" spans="2:6" ht="15" customHeight="1">
      <c r="B214" s="94"/>
      <c r="C214" s="94"/>
      <c r="D214" s="94"/>
      <c r="E214" s="94"/>
      <c r="F214" s="94"/>
    </row>
    <row r="215" spans="2:6" ht="15" customHeight="1"/>
    <row r="216" spans="2:6" ht="15" customHeight="1"/>
    <row r="217" spans="2:6" ht="15" customHeight="1"/>
    <row r="218" spans="2:6" ht="15" customHeight="1"/>
    <row r="219" spans="2:6" ht="15" customHeight="1"/>
    <row r="220" spans="2:6" ht="15" customHeight="1"/>
    <row r="221" spans="2:6" ht="15" customHeight="1"/>
    <row r="222" spans="2:6" ht="15" customHeight="1"/>
    <row r="223" spans="2:6" ht="15" customHeight="1"/>
    <row r="224" spans="2:6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</sheetData>
  <mergeCells count="199">
    <mergeCell ref="T3:T4"/>
    <mergeCell ref="D2:F2"/>
    <mergeCell ref="K2:L2"/>
    <mergeCell ref="O2:P2"/>
    <mergeCell ref="B3:B6"/>
    <mergeCell ref="C3:C6"/>
    <mergeCell ref="D3:D6"/>
    <mergeCell ref="E3:E6"/>
    <mergeCell ref="F3:F6"/>
    <mergeCell ref="M5:M6"/>
    <mergeCell ref="N5:N6"/>
    <mergeCell ref="O5:O6"/>
    <mergeCell ref="P5:P6"/>
    <mergeCell ref="S5:S6"/>
    <mergeCell ref="T5:T6"/>
    <mergeCell ref="G5:G6"/>
    <mergeCell ref="H5:H6"/>
    <mergeCell ref="I5:I6"/>
    <mergeCell ref="J5:J6"/>
    <mergeCell ref="K5:K6"/>
    <mergeCell ref="G3:H3"/>
    <mergeCell ref="I3:J3"/>
    <mergeCell ref="K3:L3"/>
    <mergeCell ref="N3:N4"/>
    <mergeCell ref="O3:P3"/>
    <mergeCell ref="S3:S4"/>
    <mergeCell ref="G4:H4"/>
    <mergeCell ref="I4:J4"/>
    <mergeCell ref="K4:L4"/>
    <mergeCell ref="O4:P4"/>
    <mergeCell ref="L5:L6"/>
    <mergeCell ref="Q4:Q6"/>
    <mergeCell ref="R4:R6"/>
    <mergeCell ref="AZ3:AZ4"/>
    <mergeCell ref="BA3:BA4"/>
    <mergeCell ref="BB3:BB6"/>
    <mergeCell ref="BC3:BC6"/>
    <mergeCell ref="BD3:BD6"/>
    <mergeCell ref="AR3:AR4"/>
    <mergeCell ref="AS3:AS4"/>
    <mergeCell ref="AT3:AT4"/>
    <mergeCell ref="AU3:AU4"/>
    <mergeCell ref="AV3:AV4"/>
    <mergeCell ref="AW3:AX3"/>
    <mergeCell ref="AW4:AX4"/>
    <mergeCell ref="AY5:AY6"/>
    <mergeCell ref="AZ5:AZ6"/>
    <mergeCell ref="BA5:BA6"/>
    <mergeCell ref="AY3:AY4"/>
    <mergeCell ref="AX5:AX6"/>
    <mergeCell ref="AJ3:AK3"/>
    <mergeCell ref="AL3:AM3"/>
    <mergeCell ref="AN3:AN4"/>
    <mergeCell ref="AO3:AO4"/>
    <mergeCell ref="AP3:AP4"/>
    <mergeCell ref="AQ3:AQ4"/>
    <mergeCell ref="AJ4:AK4"/>
    <mergeCell ref="AL4:AM4"/>
    <mergeCell ref="AW5:AW6"/>
    <mergeCell ref="AU5:AU6"/>
    <mergeCell ref="AV5:AV6"/>
    <mergeCell ref="AI3:AI4"/>
    <mergeCell ref="U3:V3"/>
    <mergeCell ref="AG5:AG6"/>
    <mergeCell ref="AH5:AH6"/>
    <mergeCell ref="AI5:AI6"/>
    <mergeCell ref="X3:Y3"/>
    <mergeCell ref="Z3:AA3"/>
    <mergeCell ref="AB3:AB4"/>
    <mergeCell ref="U4:V4"/>
    <mergeCell ref="X4:Y4"/>
    <mergeCell ref="AG4:AH4"/>
    <mergeCell ref="U5:U6"/>
    <mergeCell ref="V5:V6"/>
    <mergeCell ref="W5:W6"/>
    <mergeCell ref="X5:X6"/>
    <mergeCell ref="AC3:AC4"/>
    <mergeCell ref="AD3:AD4"/>
    <mergeCell ref="AE3:AE4"/>
    <mergeCell ref="AF3:AF4"/>
    <mergeCell ref="AG3:AH3"/>
    <mergeCell ref="Z4:AA4"/>
    <mergeCell ref="W3:W4"/>
    <mergeCell ref="B7:B8"/>
    <mergeCell ref="C7:C8"/>
    <mergeCell ref="D7:D8"/>
    <mergeCell ref="E7:E8"/>
    <mergeCell ref="F7:F8"/>
    <mergeCell ref="AQ5:AQ6"/>
    <mergeCell ref="AR5:AR6"/>
    <mergeCell ref="AS5:AS6"/>
    <mergeCell ref="AT5:AT6"/>
    <mergeCell ref="AK5:AK6"/>
    <mergeCell ref="AL5:AL6"/>
    <mergeCell ref="AM5:AM6"/>
    <mergeCell ref="AN5:AN6"/>
    <mergeCell ref="AO5:AO6"/>
    <mergeCell ref="AP5:AP6"/>
    <mergeCell ref="AE5:AE6"/>
    <mergeCell ref="AF5:AF6"/>
    <mergeCell ref="AJ5:AJ6"/>
    <mergeCell ref="Y5:Y6"/>
    <mergeCell ref="Z5:Z6"/>
    <mergeCell ref="AA5:AA6"/>
    <mergeCell ref="AB5:AB6"/>
    <mergeCell ref="AC5:AC6"/>
    <mergeCell ref="AD5:AD6"/>
    <mergeCell ref="B9:B10"/>
    <mergeCell ref="C9:C10"/>
    <mergeCell ref="D9:D10"/>
    <mergeCell ref="E9:E10"/>
    <mergeCell ref="F9:F10"/>
    <mergeCell ref="B11:B12"/>
    <mergeCell ref="C11:C12"/>
    <mergeCell ref="D11:D12"/>
    <mergeCell ref="E11:E12"/>
    <mergeCell ref="F11:F12"/>
    <mergeCell ref="B13:B14"/>
    <mergeCell ref="C13:C14"/>
    <mergeCell ref="D13:D14"/>
    <mergeCell ref="E13:E14"/>
    <mergeCell ref="F13:F14"/>
    <mergeCell ref="B15:B16"/>
    <mergeCell ref="C15:C16"/>
    <mergeCell ref="D15:D16"/>
    <mergeCell ref="E15:E16"/>
    <mergeCell ref="F15:F16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  <mergeCell ref="B214:F214"/>
    <mergeCell ref="B43:B44"/>
    <mergeCell ref="C43:C44"/>
    <mergeCell ref="D43:D44"/>
    <mergeCell ref="E43:E44"/>
    <mergeCell ref="F43:F44"/>
    <mergeCell ref="B45:C45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9:B30"/>
    <mergeCell ref="B31:B32"/>
    <mergeCell ref="B33:B34"/>
    <mergeCell ref="B35:B36"/>
    <mergeCell ref="B37:B38"/>
    <mergeCell ref="B39:B40"/>
    <mergeCell ref="B41:B42"/>
    <mergeCell ref="C29:C30"/>
    <mergeCell ref="C31:C32"/>
    <mergeCell ref="C33:C34"/>
    <mergeCell ref="C35:C36"/>
    <mergeCell ref="D29:D30"/>
    <mergeCell ref="E29:E30"/>
    <mergeCell ref="F29:F30"/>
    <mergeCell ref="D31:D32"/>
    <mergeCell ref="E31:E32"/>
    <mergeCell ref="F31:F32"/>
    <mergeCell ref="D33:D34"/>
    <mergeCell ref="E33:E34"/>
    <mergeCell ref="F33:F34"/>
    <mergeCell ref="D35:D36"/>
    <mergeCell ref="E35:E36"/>
    <mergeCell ref="F35:F36"/>
    <mergeCell ref="D37:D38"/>
    <mergeCell ref="E37:E38"/>
    <mergeCell ref="F37:F38"/>
    <mergeCell ref="C37:C38"/>
    <mergeCell ref="C39:C40"/>
    <mergeCell ref="D39:D40"/>
    <mergeCell ref="E39:E40"/>
    <mergeCell ref="F39:F40"/>
    <mergeCell ref="C41:C42"/>
    <mergeCell ref="D41:D42"/>
    <mergeCell ref="E41:E42"/>
    <mergeCell ref="F41:F4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198"/>
  <sheetViews>
    <sheetView tabSelected="1" workbookViewId="0">
      <selection activeCell="BG28" sqref="BG28"/>
    </sheetView>
  </sheetViews>
  <sheetFormatPr defaultRowHeight="15"/>
  <cols>
    <col min="1" max="1" width="5" style="36" customWidth="1"/>
    <col min="2" max="2" width="15" style="36" customWidth="1"/>
    <col min="3" max="3" width="22.7109375" style="36" customWidth="1"/>
    <col min="4" max="4" width="6" style="36" customWidth="1"/>
    <col min="5" max="5" width="7.5703125" style="36" customWidth="1"/>
    <col min="6" max="6" width="5.28515625" style="36" customWidth="1"/>
    <col min="7" max="7" width="10.5703125" style="36" customWidth="1"/>
    <col min="8" max="8" width="11.140625" style="36" customWidth="1"/>
    <col min="9" max="10" width="11.7109375" style="36" customWidth="1"/>
    <col min="11" max="12" width="10.42578125" style="36" customWidth="1"/>
    <col min="13" max="14" width="11.7109375" style="36" customWidth="1"/>
    <col min="15" max="34" width="9" style="36" customWidth="1"/>
    <col min="35" max="35" width="9.7109375" style="36" customWidth="1"/>
    <col min="36" max="43" width="9" style="36" customWidth="1"/>
    <col min="44" max="44" width="11.140625" style="36" bestFit="1" customWidth="1"/>
    <col min="45" max="47" width="11.5703125" style="36" customWidth="1"/>
    <col min="48" max="58" width="9" style="36" customWidth="1"/>
    <col min="59" max="59" width="20.85546875" style="36" customWidth="1"/>
    <col min="60" max="60" width="9.42578125" style="36" bestFit="1" customWidth="1"/>
    <col min="61" max="61" width="15" style="36" customWidth="1"/>
    <col min="62" max="62" width="8.7109375" style="36" customWidth="1"/>
    <col min="63" max="16384" width="9.140625" style="36"/>
  </cols>
  <sheetData>
    <row r="1" spans="2:61" ht="15.75" thickBot="1">
      <c r="G1" s="28"/>
      <c r="W1" s="16"/>
      <c r="X1" s="16"/>
      <c r="Y1" s="16"/>
      <c r="Z1" s="14"/>
      <c r="AA1" s="14"/>
      <c r="AB1" s="14"/>
      <c r="AC1" s="14"/>
      <c r="AD1" s="14"/>
      <c r="AE1" s="14"/>
    </row>
    <row r="2" spans="2:61" ht="15.75" thickBot="1">
      <c r="B2" s="100" t="s">
        <v>72</v>
      </c>
      <c r="C2" s="101"/>
      <c r="D2" s="49" t="s">
        <v>0</v>
      </c>
      <c r="E2" s="50"/>
      <c r="F2" s="51"/>
      <c r="G2" s="29"/>
      <c r="H2" s="30"/>
      <c r="I2" s="30"/>
      <c r="J2" s="30"/>
      <c r="K2" s="97"/>
      <c r="L2" s="97"/>
      <c r="M2" s="31"/>
      <c r="N2" s="31"/>
      <c r="O2" s="97"/>
      <c r="P2" s="97"/>
      <c r="Q2" s="31"/>
      <c r="R2" s="31"/>
      <c r="S2" s="3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3"/>
      <c r="BF2" s="3"/>
      <c r="BG2" s="3"/>
    </row>
    <row r="3" spans="2:61" ht="15.75" thickBot="1">
      <c r="B3" s="64" t="s">
        <v>1</v>
      </c>
      <c r="C3" s="64" t="s">
        <v>2</v>
      </c>
      <c r="D3" s="87" t="s">
        <v>3</v>
      </c>
      <c r="E3" s="64" t="s">
        <v>4</v>
      </c>
      <c r="F3" s="87" t="s">
        <v>5</v>
      </c>
      <c r="G3" s="64" t="s">
        <v>6</v>
      </c>
      <c r="H3" s="64"/>
      <c r="I3" s="64" t="s">
        <v>7</v>
      </c>
      <c r="J3" s="64"/>
      <c r="K3" s="64" t="s">
        <v>8</v>
      </c>
      <c r="L3" s="64"/>
      <c r="M3" s="4" t="s">
        <v>9</v>
      </c>
      <c r="N3" s="64" t="s">
        <v>10</v>
      </c>
      <c r="O3" s="58" t="s">
        <v>11</v>
      </c>
      <c r="P3" s="59"/>
      <c r="Q3" s="4" t="s">
        <v>12</v>
      </c>
      <c r="R3" s="4" t="s">
        <v>13</v>
      </c>
      <c r="S3" s="64" t="s">
        <v>32</v>
      </c>
      <c r="T3" s="64" t="s">
        <v>33</v>
      </c>
      <c r="U3" s="58" t="s">
        <v>22</v>
      </c>
      <c r="V3" s="59"/>
      <c r="W3" s="64" t="s">
        <v>23</v>
      </c>
      <c r="X3" s="58" t="s">
        <v>48</v>
      </c>
      <c r="Y3" s="59"/>
      <c r="Z3" s="58" t="s">
        <v>24</v>
      </c>
      <c r="AA3" s="59"/>
      <c r="AB3" s="64" t="s">
        <v>62</v>
      </c>
      <c r="AC3" s="64" t="s">
        <v>51</v>
      </c>
      <c r="AD3" s="64" t="s">
        <v>47</v>
      </c>
      <c r="AE3" s="64" t="s">
        <v>34</v>
      </c>
      <c r="AF3" s="64" t="s">
        <v>57</v>
      </c>
      <c r="AG3" s="58" t="s">
        <v>26</v>
      </c>
      <c r="AH3" s="59"/>
      <c r="AI3" s="64" t="s">
        <v>27</v>
      </c>
      <c r="AJ3" s="58" t="s">
        <v>28</v>
      </c>
      <c r="AK3" s="59"/>
      <c r="AL3" s="58" t="s">
        <v>44</v>
      </c>
      <c r="AM3" s="59"/>
      <c r="AN3" s="64" t="s">
        <v>52</v>
      </c>
      <c r="AO3" s="64" t="s">
        <v>29</v>
      </c>
      <c r="AP3" s="64" t="s">
        <v>61</v>
      </c>
      <c r="AQ3" s="64" t="s">
        <v>35</v>
      </c>
      <c r="AR3" s="64" t="s">
        <v>75</v>
      </c>
      <c r="AS3" s="64" t="s">
        <v>45</v>
      </c>
      <c r="AT3" s="64" t="s">
        <v>112</v>
      </c>
      <c r="AU3" s="64" t="s">
        <v>110</v>
      </c>
      <c r="AV3" s="64" t="s">
        <v>60</v>
      </c>
      <c r="AW3" s="64" t="s">
        <v>113</v>
      </c>
      <c r="AX3" s="64" t="s">
        <v>50</v>
      </c>
      <c r="AY3" s="64" t="s">
        <v>58</v>
      </c>
      <c r="AZ3" s="58" t="s">
        <v>46</v>
      </c>
      <c r="BA3" s="59"/>
      <c r="BB3" s="64" t="s">
        <v>36</v>
      </c>
      <c r="BC3" s="64" t="s">
        <v>49</v>
      </c>
      <c r="BD3" s="64" t="s">
        <v>109</v>
      </c>
      <c r="BE3" s="64" t="s">
        <v>20</v>
      </c>
      <c r="BF3" s="64" t="s">
        <v>21</v>
      </c>
      <c r="BG3" s="64" t="s">
        <v>31</v>
      </c>
    </row>
    <row r="4" spans="2:61" ht="31.5" customHeight="1" thickTop="1" thickBot="1">
      <c r="B4" s="65"/>
      <c r="C4" s="65"/>
      <c r="D4" s="88"/>
      <c r="E4" s="65"/>
      <c r="F4" s="88"/>
      <c r="G4" s="75" t="s">
        <v>14</v>
      </c>
      <c r="H4" s="76"/>
      <c r="I4" s="75" t="s">
        <v>15</v>
      </c>
      <c r="J4" s="76"/>
      <c r="K4" s="75" t="s">
        <v>16</v>
      </c>
      <c r="L4" s="76"/>
      <c r="M4" s="8" t="s">
        <v>17</v>
      </c>
      <c r="N4" s="99"/>
      <c r="O4" s="77" t="s">
        <v>37</v>
      </c>
      <c r="P4" s="78"/>
      <c r="Q4" s="73" t="s">
        <v>38</v>
      </c>
      <c r="R4" s="73" t="s">
        <v>13</v>
      </c>
      <c r="S4" s="65"/>
      <c r="T4" s="65"/>
      <c r="U4" s="70" t="s">
        <v>41</v>
      </c>
      <c r="V4" s="71"/>
      <c r="W4" s="65"/>
      <c r="X4" s="60" t="s">
        <v>25</v>
      </c>
      <c r="Y4" s="61"/>
      <c r="Z4" s="60" t="s">
        <v>25</v>
      </c>
      <c r="AA4" s="61"/>
      <c r="AB4" s="65"/>
      <c r="AC4" s="65"/>
      <c r="AD4" s="65"/>
      <c r="AE4" s="65"/>
      <c r="AF4" s="65"/>
      <c r="AG4" s="60" t="s">
        <v>25</v>
      </c>
      <c r="AH4" s="61"/>
      <c r="AI4" s="65"/>
      <c r="AJ4" s="70" t="s">
        <v>121</v>
      </c>
      <c r="AK4" s="71"/>
      <c r="AL4" s="70" t="s">
        <v>121</v>
      </c>
      <c r="AM4" s="71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0" t="s">
        <v>25</v>
      </c>
      <c r="BA4" s="61"/>
      <c r="BB4" s="65"/>
      <c r="BC4" s="65"/>
      <c r="BD4" s="65"/>
      <c r="BE4" s="65"/>
      <c r="BF4" s="65"/>
      <c r="BG4" s="65"/>
    </row>
    <row r="5" spans="2:61" ht="15.75" customHeight="1" thickTop="1">
      <c r="B5" s="65"/>
      <c r="C5" s="65"/>
      <c r="D5" s="88"/>
      <c r="E5" s="65"/>
      <c r="F5" s="88"/>
      <c r="G5" s="79" t="s">
        <v>53</v>
      </c>
      <c r="H5" s="66" t="s">
        <v>54</v>
      </c>
      <c r="I5" s="79" t="s">
        <v>53</v>
      </c>
      <c r="J5" s="66" t="s">
        <v>54</v>
      </c>
      <c r="K5" s="79" t="s">
        <v>53</v>
      </c>
      <c r="L5" s="66" t="s">
        <v>54</v>
      </c>
      <c r="M5" s="73" t="s">
        <v>18</v>
      </c>
      <c r="N5" s="81" t="s">
        <v>19</v>
      </c>
      <c r="O5" s="66" t="s">
        <v>53</v>
      </c>
      <c r="P5" s="66" t="s">
        <v>55</v>
      </c>
      <c r="Q5" s="73"/>
      <c r="R5" s="73"/>
      <c r="S5" s="68" t="s">
        <v>66</v>
      </c>
      <c r="T5" s="68" t="s">
        <v>43</v>
      </c>
      <c r="U5" s="66" t="s">
        <v>53</v>
      </c>
      <c r="V5" s="66" t="s">
        <v>55</v>
      </c>
      <c r="W5" s="56" t="s">
        <v>25</v>
      </c>
      <c r="X5" s="66" t="s">
        <v>53</v>
      </c>
      <c r="Y5" s="66" t="s">
        <v>55</v>
      </c>
      <c r="Z5" s="66" t="s">
        <v>53</v>
      </c>
      <c r="AA5" s="66" t="s">
        <v>55</v>
      </c>
      <c r="AB5" s="68" t="s">
        <v>70</v>
      </c>
      <c r="AC5" s="56" t="s">
        <v>25</v>
      </c>
      <c r="AD5" s="68" t="s">
        <v>71</v>
      </c>
      <c r="AE5" s="56" t="s">
        <v>25</v>
      </c>
      <c r="AF5" s="68" t="s">
        <v>67</v>
      </c>
      <c r="AG5" s="62" t="s">
        <v>53</v>
      </c>
      <c r="AH5" s="62" t="s">
        <v>55</v>
      </c>
      <c r="AI5" s="68" t="s">
        <v>39</v>
      </c>
      <c r="AJ5" s="62" t="s">
        <v>53</v>
      </c>
      <c r="AK5" s="62" t="s">
        <v>55</v>
      </c>
      <c r="AL5" s="62" t="s">
        <v>53</v>
      </c>
      <c r="AM5" s="62" t="s">
        <v>55</v>
      </c>
      <c r="AN5" s="68" t="s">
        <v>68</v>
      </c>
      <c r="AO5" s="56" t="s">
        <v>25</v>
      </c>
      <c r="AP5" s="68" t="s">
        <v>64</v>
      </c>
      <c r="AQ5" s="68" t="s">
        <v>40</v>
      </c>
      <c r="AR5" s="68" t="s">
        <v>120</v>
      </c>
      <c r="AS5" s="68" t="s">
        <v>65</v>
      </c>
      <c r="AT5" s="68" t="s">
        <v>122</v>
      </c>
      <c r="AU5" s="56" t="s">
        <v>25</v>
      </c>
      <c r="AV5" s="68" t="s">
        <v>123</v>
      </c>
      <c r="AW5" s="56" t="s">
        <v>25</v>
      </c>
      <c r="AX5" s="68" t="s">
        <v>63</v>
      </c>
      <c r="AY5" s="68" t="s">
        <v>69</v>
      </c>
      <c r="AZ5" s="62" t="s">
        <v>53</v>
      </c>
      <c r="BA5" s="62" t="s">
        <v>55</v>
      </c>
      <c r="BB5" s="56" t="s">
        <v>25</v>
      </c>
      <c r="BC5" s="56" t="s">
        <v>25</v>
      </c>
      <c r="BD5" s="56" t="s">
        <v>25</v>
      </c>
      <c r="BE5" s="65"/>
      <c r="BF5" s="65"/>
      <c r="BG5" s="65"/>
    </row>
    <row r="6" spans="2:61" ht="15.75" thickBot="1">
      <c r="B6" s="72"/>
      <c r="C6" s="72"/>
      <c r="D6" s="89"/>
      <c r="E6" s="72"/>
      <c r="F6" s="89"/>
      <c r="G6" s="67"/>
      <c r="H6" s="67"/>
      <c r="I6" s="67"/>
      <c r="J6" s="67"/>
      <c r="K6" s="67"/>
      <c r="L6" s="67"/>
      <c r="M6" s="74"/>
      <c r="N6" s="98"/>
      <c r="O6" s="67"/>
      <c r="P6" s="67"/>
      <c r="Q6" s="74"/>
      <c r="R6" s="74"/>
      <c r="S6" s="69"/>
      <c r="T6" s="69"/>
      <c r="U6" s="67"/>
      <c r="V6" s="67"/>
      <c r="W6" s="57"/>
      <c r="X6" s="67"/>
      <c r="Y6" s="67"/>
      <c r="Z6" s="67"/>
      <c r="AA6" s="67"/>
      <c r="AB6" s="69"/>
      <c r="AC6" s="57"/>
      <c r="AD6" s="69"/>
      <c r="AE6" s="57"/>
      <c r="AF6" s="69"/>
      <c r="AG6" s="63"/>
      <c r="AH6" s="63"/>
      <c r="AI6" s="69"/>
      <c r="AJ6" s="63"/>
      <c r="AK6" s="63"/>
      <c r="AL6" s="63"/>
      <c r="AM6" s="63"/>
      <c r="AN6" s="69"/>
      <c r="AO6" s="57"/>
      <c r="AP6" s="69"/>
      <c r="AQ6" s="69"/>
      <c r="AR6" s="69"/>
      <c r="AS6" s="69"/>
      <c r="AT6" s="69"/>
      <c r="AU6" s="57"/>
      <c r="AV6" s="69"/>
      <c r="AW6" s="57"/>
      <c r="AX6" s="69"/>
      <c r="AY6" s="69"/>
      <c r="AZ6" s="63"/>
      <c r="BA6" s="63"/>
      <c r="BB6" s="57"/>
      <c r="BC6" s="57"/>
      <c r="BD6" s="57"/>
      <c r="BE6" s="72"/>
      <c r="BF6" s="72"/>
      <c r="BG6" s="72"/>
    </row>
    <row r="7" spans="2:61">
      <c r="B7" s="91"/>
      <c r="C7" s="90" t="s">
        <v>107</v>
      </c>
      <c r="D7" s="90">
        <v>2019</v>
      </c>
      <c r="E7" s="90" t="s">
        <v>108</v>
      </c>
      <c r="F7" s="95">
        <v>3</v>
      </c>
      <c r="G7" s="19">
        <f>79.5+23+189+55.5+342.5+412.5+181+62</f>
        <v>1345</v>
      </c>
      <c r="H7" s="19">
        <f>2.5+37.5+39.5+557.5+12+328+21.5</f>
        <v>998.5</v>
      </c>
      <c r="I7" s="19">
        <f>77.5+212.5</f>
        <v>290</v>
      </c>
      <c r="J7" s="19">
        <f>78.5+329.5</f>
        <v>408</v>
      </c>
      <c r="K7" s="19">
        <f>78.5+12.5+15.5+299+680.5+146.5</f>
        <v>1232.5</v>
      </c>
      <c r="L7" s="19">
        <f>3.5+8+8+39</f>
        <v>58.5</v>
      </c>
      <c r="M7" s="19">
        <f>2699.5+41+194+413+134.5</f>
        <v>3482</v>
      </c>
      <c r="N7" s="19">
        <f>616+27+79.5</f>
        <v>722.5</v>
      </c>
      <c r="O7" s="19">
        <f>96+3+640.5+736</f>
        <v>1475.5</v>
      </c>
      <c r="P7" s="19">
        <f>141+363</f>
        <v>504</v>
      </c>
      <c r="Q7" s="19">
        <f>25+58+96+102</f>
        <v>281</v>
      </c>
      <c r="R7" s="19"/>
      <c r="S7" s="19">
        <f>19</f>
        <v>19</v>
      </c>
      <c r="T7" s="19">
        <f>109.5+240+266.5+25.5</f>
        <v>641.5</v>
      </c>
      <c r="U7" s="19">
        <f>29+335+606</f>
        <v>970</v>
      </c>
      <c r="V7" s="19">
        <f>6+589+8+22+973+15+39.5+3.5</f>
        <v>1656</v>
      </c>
      <c r="W7" s="19">
        <f>9+33</f>
        <v>42</v>
      </c>
      <c r="X7" s="19">
        <f>2578.5+1636.5</f>
        <v>4215</v>
      </c>
      <c r="Y7" s="19">
        <f>162+9+26.5+318</f>
        <v>515.5</v>
      </c>
      <c r="Z7" s="19">
        <f>83</f>
        <v>83</v>
      </c>
      <c r="AA7" s="19">
        <f>1+79</f>
        <v>80</v>
      </c>
      <c r="AB7" s="19"/>
      <c r="AC7" s="19">
        <f>22.5</f>
        <v>22.5</v>
      </c>
      <c r="AD7" s="19">
        <f>142+233.5+50.5+200.5</f>
        <v>626.5</v>
      </c>
      <c r="AE7" s="19">
        <f>6.5+8.5</f>
        <v>15</v>
      </c>
      <c r="AF7" s="19"/>
      <c r="AG7" s="19">
        <f>193.5+707+59+847.5+2035+181</f>
        <v>4023</v>
      </c>
      <c r="AH7" s="19">
        <f>17+87+460.5+62.5+7</f>
        <v>634</v>
      </c>
      <c r="AI7" s="19">
        <f>12+10+18+25</f>
        <v>65</v>
      </c>
      <c r="AJ7" s="19"/>
      <c r="AK7" s="19"/>
      <c r="AL7" s="19">
        <f>6.5+80+227.5+207+51</f>
        <v>572</v>
      </c>
      <c r="AM7" s="19"/>
      <c r="AN7" s="19"/>
      <c r="AO7" s="19"/>
      <c r="AP7" s="19"/>
      <c r="AQ7" s="19">
        <f>39.5+5.5+15+18</f>
        <v>78</v>
      </c>
      <c r="AR7" s="19"/>
      <c r="AS7" s="19"/>
      <c r="AT7" s="19"/>
      <c r="AU7" s="34"/>
      <c r="AV7" s="19">
        <f>46</f>
        <v>46</v>
      </c>
      <c r="AW7" s="19"/>
      <c r="AX7" s="19">
        <f>4.5</f>
        <v>4.5</v>
      </c>
      <c r="AY7" s="19"/>
      <c r="AZ7" s="19">
        <f>602.5</f>
        <v>602.5</v>
      </c>
      <c r="BA7" s="19">
        <f>126.5+2195+363+29+3214.5+1147.5+43+65+22+44.5+503+79.5</f>
        <v>7832.5</v>
      </c>
      <c r="BB7" s="19">
        <f>419.5+307.5+49+19</f>
        <v>795</v>
      </c>
      <c r="BC7" s="19"/>
      <c r="BD7" s="19"/>
      <c r="BE7" s="19">
        <f>9</f>
        <v>9</v>
      </c>
      <c r="BF7" s="19">
        <f>3.5+12</f>
        <v>15.5</v>
      </c>
      <c r="BG7" s="19">
        <f t="shared" ref="BG7:BG29" si="0">SUM(G7:BF7)</f>
        <v>34360.5</v>
      </c>
      <c r="BH7" s="35"/>
      <c r="BI7" s="17"/>
    </row>
    <row r="8" spans="2:61">
      <c r="B8" s="48"/>
      <c r="C8" s="53"/>
      <c r="D8" s="53"/>
      <c r="E8" s="53"/>
      <c r="F8" s="96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20"/>
      <c r="BE8" s="19"/>
      <c r="BF8" s="19"/>
      <c r="BG8" s="19">
        <f t="shared" si="0"/>
        <v>0</v>
      </c>
      <c r="BH8" s="35"/>
      <c r="BI8" s="17"/>
    </row>
    <row r="9" spans="2:61">
      <c r="B9" s="47"/>
      <c r="C9" s="52" t="s">
        <v>99</v>
      </c>
      <c r="D9" s="52">
        <v>2019</v>
      </c>
      <c r="E9" s="52" t="s">
        <v>108</v>
      </c>
      <c r="F9" s="54">
        <v>3</v>
      </c>
      <c r="G9" s="20">
        <f>12+6.5+129.5+97+47.5</f>
        <v>292.5</v>
      </c>
      <c r="H9" s="20">
        <f>2.5+24.5+25.5</f>
        <v>52.5</v>
      </c>
      <c r="I9" s="20">
        <f>69+49</f>
        <v>118</v>
      </c>
      <c r="J9" s="20"/>
      <c r="K9" s="20">
        <f>78.5+12.5+846+860.5</f>
        <v>1797.5</v>
      </c>
      <c r="L9" s="20">
        <f>3.5+1+13+32.5</f>
        <v>50</v>
      </c>
      <c r="M9" s="20">
        <f>2699.5+15.5+23+776.5+3357</f>
        <v>6871.5</v>
      </c>
      <c r="N9" s="20">
        <f>616+122.5+511.5</f>
        <v>1250</v>
      </c>
      <c r="O9" s="19">
        <f>96+250</f>
        <v>346</v>
      </c>
      <c r="P9" s="19">
        <f>3+660.5</f>
        <v>663.5</v>
      </c>
      <c r="Q9" s="20">
        <f>28</f>
        <v>28</v>
      </c>
      <c r="R9" s="19"/>
      <c r="S9" s="19"/>
      <c r="T9" s="19">
        <f>16.5+39.5+53.5</f>
        <v>109.5</v>
      </c>
      <c r="U9" s="19">
        <f>29+365.5+30+921.5+161.5</f>
        <v>1507.5</v>
      </c>
      <c r="V9" s="19">
        <f>6+31.5+77.5+18</f>
        <v>133</v>
      </c>
      <c r="W9" s="19">
        <f>161.5+65.5</f>
        <v>227</v>
      </c>
      <c r="X9" s="19">
        <f>382+1104.5+3517+5741.5</f>
        <v>10745</v>
      </c>
      <c r="Y9" s="19">
        <f>162+360.5+115+3600+995+127</f>
        <v>5359.5</v>
      </c>
      <c r="Z9" s="19"/>
      <c r="AA9" s="19">
        <f>1</f>
        <v>1</v>
      </c>
      <c r="AB9" s="19">
        <f>14</f>
        <v>14</v>
      </c>
      <c r="AC9" s="19">
        <f>3</f>
        <v>3</v>
      </c>
      <c r="AD9" s="19">
        <f>15+68.5+135.5</f>
        <v>219</v>
      </c>
      <c r="AE9" s="19">
        <f>40.5</f>
        <v>40.5</v>
      </c>
      <c r="AF9" s="19"/>
      <c r="AG9" s="19">
        <f>193.5+197.5+298</f>
        <v>689</v>
      </c>
      <c r="AH9" s="19">
        <f>7.5+9.5+47</f>
        <v>64</v>
      </c>
      <c r="AI9" s="19">
        <f>12+127.5</f>
        <v>139.5</v>
      </c>
      <c r="AJ9" s="19"/>
      <c r="AK9" s="19">
        <f>71+449.5+23</f>
        <v>543.5</v>
      </c>
      <c r="AL9" s="19">
        <f>6.5+15.5+113.5+255+64.5</f>
        <v>455</v>
      </c>
      <c r="AM9" s="19">
        <f>51+9.5+176.5+55</f>
        <v>292</v>
      </c>
      <c r="AN9" s="19"/>
      <c r="AO9" s="19">
        <f>8.5</f>
        <v>8.5</v>
      </c>
      <c r="AP9" s="19">
        <f>9.5</f>
        <v>9.5</v>
      </c>
      <c r="AQ9" s="19">
        <f>10+10</f>
        <v>20</v>
      </c>
      <c r="AR9" s="19"/>
      <c r="AS9" s="19">
        <f>16.5</f>
        <v>16.5</v>
      </c>
      <c r="AT9" s="19"/>
      <c r="AU9" s="19">
        <f>40</f>
        <v>40</v>
      </c>
      <c r="AV9" s="19">
        <f>46+24.5</f>
        <v>70.5</v>
      </c>
      <c r="AW9" s="19"/>
      <c r="AX9" s="19">
        <f>4.5+15</f>
        <v>19.5</v>
      </c>
      <c r="AY9" s="19"/>
      <c r="AZ9" s="19">
        <f>4</f>
        <v>4</v>
      </c>
      <c r="BA9" s="19">
        <f>7948+1269+493+72+4203.5+204.5+723+37.5</f>
        <v>14950.5</v>
      </c>
      <c r="BB9" s="19">
        <f>821.5+501.5+2623.5+777+21</f>
        <v>4744.5</v>
      </c>
      <c r="BC9" s="19"/>
      <c r="BD9" s="20">
        <f>321.5+740+3037+544.5+16</f>
        <v>4659</v>
      </c>
      <c r="BE9" s="19">
        <f>9</f>
        <v>9</v>
      </c>
      <c r="BF9" s="19">
        <f>3.5</f>
        <v>3.5</v>
      </c>
      <c r="BG9" s="19">
        <f t="shared" si="0"/>
        <v>56566.5</v>
      </c>
      <c r="BH9" s="17"/>
      <c r="BI9" s="17"/>
    </row>
    <row r="10" spans="2:61">
      <c r="B10" s="48"/>
      <c r="C10" s="53"/>
      <c r="D10" s="53"/>
      <c r="E10" s="53"/>
      <c r="F10" s="55"/>
      <c r="G10" s="20"/>
      <c r="H10" s="20"/>
      <c r="I10" s="20"/>
      <c r="J10" s="20"/>
      <c r="K10" s="20"/>
      <c r="L10" s="20"/>
      <c r="M10" s="20"/>
      <c r="N10" s="20"/>
      <c r="O10" s="19"/>
      <c r="P10" s="19"/>
      <c r="Q10" s="20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20"/>
      <c r="BE10" s="19"/>
      <c r="BF10" s="19"/>
      <c r="BG10" s="19">
        <f t="shared" si="0"/>
        <v>0</v>
      </c>
      <c r="BH10" s="17"/>
      <c r="BI10" s="17"/>
    </row>
    <row r="11" spans="2:61">
      <c r="B11" s="47"/>
      <c r="C11" s="52" t="s">
        <v>111</v>
      </c>
      <c r="D11" s="52">
        <v>2019</v>
      </c>
      <c r="E11" s="52" t="s">
        <v>108</v>
      </c>
      <c r="F11" s="54">
        <v>9</v>
      </c>
      <c r="G11" s="20">
        <f>671.5+664+348+363.5+499.5+164.5+1039+554.5+258+322+18+5.5</f>
        <v>4908</v>
      </c>
      <c r="H11" s="20">
        <f>1833+178+754.5+101.5+13.5+96.5+829.5+48+13.5+170+11+11.5</f>
        <v>4060.5</v>
      </c>
      <c r="I11" s="20">
        <f>588.5+234.5+7+64.5</f>
        <v>894.5</v>
      </c>
      <c r="J11" s="20">
        <f>99+228.5+30.5+28+60.5</f>
        <v>446.5</v>
      </c>
      <c r="K11" s="20">
        <f>234+1269.5+18+76.5+7.5+26</f>
        <v>1631.5</v>
      </c>
      <c r="L11" s="20">
        <f>68.5+35.5+2</f>
        <v>106</v>
      </c>
      <c r="M11" s="20">
        <f>316+231.5+7.5+110.5+432+132+89.5</f>
        <v>1319</v>
      </c>
      <c r="N11" s="20">
        <f>33+164+20+63+13.5</f>
        <v>293.5</v>
      </c>
      <c r="O11" s="19">
        <f>1309+1131.5+237.5</f>
        <v>2678</v>
      </c>
      <c r="P11" s="19">
        <f>663+267+942</f>
        <v>1872</v>
      </c>
      <c r="Q11" s="20">
        <f>235+42+35.5+154+7.5+70.5</f>
        <v>544.5</v>
      </c>
      <c r="R11" s="19"/>
      <c r="S11" s="19">
        <f>78.5+42+80.5+7.5+15.5</f>
        <v>224</v>
      </c>
      <c r="T11" s="19">
        <f>118.5+98+20.5+192.5+69+153.5</f>
        <v>652</v>
      </c>
      <c r="U11" s="19">
        <f>188+228+176+182.5+140.5</f>
        <v>915</v>
      </c>
      <c r="V11" s="19">
        <f>250+22+6.5+25+5+17+5.5+13+13</f>
        <v>357</v>
      </c>
      <c r="W11" s="19">
        <f>6</f>
        <v>6</v>
      </c>
      <c r="X11" s="19">
        <f>324.5+300</f>
        <v>624.5</v>
      </c>
      <c r="Y11" s="19">
        <f>129.5+122+108.5+10.5+177.5+96.5+233.5+109</f>
        <v>987</v>
      </c>
      <c r="Z11" s="19">
        <f>31.5+99+117.5+39.5</f>
        <v>287.5</v>
      </c>
      <c r="AA11" s="19">
        <f>35.5</f>
        <v>35.5</v>
      </c>
      <c r="AB11" s="19"/>
      <c r="AC11" s="19">
        <f>252+43.5+106+466+13</f>
        <v>880.5</v>
      </c>
      <c r="AD11" s="19">
        <f>44.5+8.5+154.5+10.5+10</f>
        <v>228</v>
      </c>
      <c r="AE11" s="19">
        <f>51+32+19.5+33+2</f>
        <v>137.5</v>
      </c>
      <c r="AF11" s="19"/>
      <c r="AG11" s="19">
        <f>207+470+310+703+802.5+805+1118</f>
        <v>4415.5</v>
      </c>
      <c r="AH11" s="19">
        <f>112.5+14+340.5+30+19+54+13+65+72.5+4</f>
        <v>724.5</v>
      </c>
      <c r="AI11" s="19">
        <f>79+14</f>
        <v>93</v>
      </c>
      <c r="AJ11" s="19"/>
      <c r="AK11" s="19">
        <f>61+24+24+23+33.5</f>
        <v>165.5</v>
      </c>
      <c r="AL11" s="19">
        <f>150+196+26+191.5+292+227</f>
        <v>1082.5</v>
      </c>
      <c r="AM11" s="19">
        <f>8.5+8</f>
        <v>16.5</v>
      </c>
      <c r="AN11" s="19"/>
      <c r="AO11" s="19">
        <f>8.5+4.5+6+10</f>
        <v>29</v>
      </c>
      <c r="AP11" s="19"/>
      <c r="AQ11" s="19">
        <f>20+31+7.5+4.5</f>
        <v>63</v>
      </c>
      <c r="AR11" s="19"/>
      <c r="AS11" s="19">
        <f>35+107.5+234.5+16.5</f>
        <v>393.5</v>
      </c>
      <c r="AT11" s="19">
        <f>3+92+6.5+36.5</f>
        <v>138</v>
      </c>
      <c r="AU11" s="19"/>
      <c r="AV11" s="19">
        <f>8.5</f>
        <v>8.5</v>
      </c>
      <c r="AW11" s="19">
        <f>4</f>
        <v>4</v>
      </c>
      <c r="AX11" s="19"/>
      <c r="AY11" s="19"/>
      <c r="AZ11" s="19">
        <f>115+20</f>
        <v>135</v>
      </c>
      <c r="BA11" s="19">
        <f>138+804+68+109.5+22+5.5+21+1137.5+343.5+34.5+136+7+45+734+25+270.5+596+165+1069+32.5+313</f>
        <v>6076.5</v>
      </c>
      <c r="BB11" s="19">
        <f>50+419.5+178+200.5+116+65.5</f>
        <v>1029.5</v>
      </c>
      <c r="BC11" s="19"/>
      <c r="BD11" s="20">
        <f>25</f>
        <v>25</v>
      </c>
      <c r="BE11" s="19">
        <f>37+67.5+27.5+22</f>
        <v>154</v>
      </c>
      <c r="BF11" s="19">
        <f>126.5+57.5+64.5+117+21</f>
        <v>386.5</v>
      </c>
      <c r="BG11" s="19">
        <f t="shared" si="0"/>
        <v>39028.5</v>
      </c>
      <c r="BH11" s="35"/>
      <c r="BI11" s="17"/>
    </row>
    <row r="12" spans="2:61">
      <c r="B12" s="48"/>
      <c r="C12" s="53"/>
      <c r="D12" s="53"/>
      <c r="E12" s="53"/>
      <c r="F12" s="55"/>
      <c r="G12" s="20"/>
      <c r="H12" s="20"/>
      <c r="I12" s="20"/>
      <c r="J12" s="20"/>
      <c r="K12" s="20"/>
      <c r="L12" s="20"/>
      <c r="M12" s="20"/>
      <c r="N12" s="20"/>
      <c r="O12" s="19"/>
      <c r="P12" s="19"/>
      <c r="Q12" s="20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20"/>
      <c r="BE12" s="19"/>
      <c r="BF12" s="19"/>
      <c r="BG12" s="19">
        <f t="shared" si="0"/>
        <v>0</v>
      </c>
      <c r="BH12" s="17"/>
      <c r="BI12" s="17"/>
    </row>
    <row r="13" spans="2:61">
      <c r="B13" s="47"/>
      <c r="C13" s="52" t="s">
        <v>89</v>
      </c>
      <c r="D13" s="52">
        <v>2019</v>
      </c>
      <c r="E13" s="47" t="s">
        <v>108</v>
      </c>
      <c r="F13" s="52">
        <v>12</v>
      </c>
      <c r="G13" s="20">
        <f>272.5+172+9.5</f>
        <v>454</v>
      </c>
      <c r="H13" s="20">
        <f>38.5+4.5</f>
        <v>43</v>
      </c>
      <c r="I13" s="20"/>
      <c r="J13" s="20">
        <f>25</f>
        <v>25</v>
      </c>
      <c r="K13" s="20">
        <f>50.5+101.5</f>
        <v>152</v>
      </c>
      <c r="L13" s="20">
        <f>5.5</f>
        <v>5.5</v>
      </c>
      <c r="M13" s="20">
        <f>78+62</f>
        <v>140</v>
      </c>
      <c r="N13" s="20">
        <f>7.5</f>
        <v>7.5</v>
      </c>
      <c r="O13" s="19">
        <f>136.5+52.5</f>
        <v>189</v>
      </c>
      <c r="P13" s="19"/>
      <c r="Q13" s="20">
        <f>7</f>
        <v>7</v>
      </c>
      <c r="R13" s="19"/>
      <c r="S13" s="19"/>
      <c r="T13" s="19">
        <f>47+13.5</f>
        <v>60.5</v>
      </c>
      <c r="U13" s="19">
        <f>243+94</f>
        <v>337</v>
      </c>
      <c r="V13" s="19">
        <f>15+3</f>
        <v>18</v>
      </c>
      <c r="W13" s="19">
        <f>25</f>
        <v>25</v>
      </c>
      <c r="X13" s="19">
        <f>1695+115</f>
        <v>1810</v>
      </c>
      <c r="Y13" s="19">
        <f>1309+184</f>
        <v>1493</v>
      </c>
      <c r="Z13" s="19">
        <f>6</f>
        <v>6</v>
      </c>
      <c r="AA13" s="19"/>
      <c r="AB13" s="19">
        <f>2</f>
        <v>2</v>
      </c>
      <c r="AC13" s="19"/>
      <c r="AD13" s="19">
        <f>215.5+15</f>
        <v>230.5</v>
      </c>
      <c r="AE13" s="19">
        <f>15.5+3.5</f>
        <v>19</v>
      </c>
      <c r="AF13" s="19"/>
      <c r="AG13" s="19">
        <f>481.5+492.5</f>
        <v>974</v>
      </c>
      <c r="AH13" s="19">
        <f>64+9.5+11+29</f>
        <v>113.5</v>
      </c>
      <c r="AI13" s="19">
        <f>6</f>
        <v>6</v>
      </c>
      <c r="AJ13" s="19"/>
      <c r="AK13" s="19"/>
      <c r="AL13" s="19">
        <f>326+61+28</f>
        <v>415</v>
      </c>
      <c r="AM13" s="19">
        <f>8.5</f>
        <v>8.5</v>
      </c>
      <c r="AN13" s="19"/>
      <c r="AO13" s="19"/>
      <c r="AP13" s="19"/>
      <c r="AQ13" s="19">
        <f>9.5+16.5</f>
        <v>26</v>
      </c>
      <c r="AR13" s="19"/>
      <c r="AS13" s="19">
        <f>22.5</f>
        <v>22.5</v>
      </c>
      <c r="AT13" s="19"/>
      <c r="AU13" s="19"/>
      <c r="AV13" s="19"/>
      <c r="AW13" s="19"/>
      <c r="AX13" s="19"/>
      <c r="AY13" s="19"/>
      <c r="AZ13" s="19">
        <f>6.5</f>
        <v>6.5</v>
      </c>
      <c r="BA13" s="19">
        <f>498.5+140+2891.5+82.5+14.5+540+53.5+59.5</f>
        <v>4280</v>
      </c>
      <c r="BB13" s="19">
        <f>1093.5+161</f>
        <v>1254.5</v>
      </c>
      <c r="BC13" s="19"/>
      <c r="BD13" s="20">
        <f>4.5</f>
        <v>4.5</v>
      </c>
      <c r="BE13" s="19"/>
      <c r="BF13" s="19"/>
      <c r="BG13" s="19">
        <f t="shared" si="0"/>
        <v>12135</v>
      </c>
      <c r="BH13" s="17"/>
      <c r="BI13" s="17"/>
    </row>
    <row r="14" spans="2:61">
      <c r="B14" s="48"/>
      <c r="C14" s="53"/>
      <c r="D14" s="53"/>
      <c r="E14" s="48"/>
      <c r="F14" s="53"/>
      <c r="G14" s="20"/>
      <c r="H14" s="20"/>
      <c r="I14" s="20"/>
      <c r="J14" s="20"/>
      <c r="K14" s="20"/>
      <c r="L14" s="20"/>
      <c r="M14" s="20"/>
      <c r="N14" s="20"/>
      <c r="O14" s="19"/>
      <c r="P14" s="19"/>
      <c r="Q14" s="20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20"/>
      <c r="BE14" s="19"/>
      <c r="BF14" s="19"/>
      <c r="BG14" s="19">
        <f t="shared" si="0"/>
        <v>0</v>
      </c>
      <c r="BH14" s="17"/>
      <c r="BI14" s="17"/>
    </row>
    <row r="15" spans="2:61" s="41" customFormat="1">
      <c r="B15" s="47" t="s">
        <v>84</v>
      </c>
      <c r="C15" s="47" t="s">
        <v>114</v>
      </c>
      <c r="D15" s="47">
        <v>2019</v>
      </c>
      <c r="E15" s="47" t="s">
        <v>108</v>
      </c>
      <c r="F15" s="47">
        <v>20</v>
      </c>
      <c r="G15" s="37">
        <f>93+172+925.5+1045.5+256.5+907+292+72.5+157+44+18</f>
        <v>3983</v>
      </c>
      <c r="H15" s="37">
        <f>4+27.5+50.5+23+29.5+4</f>
        <v>138.5</v>
      </c>
      <c r="I15" s="37">
        <f>119.5+323+134.5+20+14.5</f>
        <v>611.5</v>
      </c>
      <c r="J15" s="37">
        <f>7</f>
        <v>7</v>
      </c>
      <c r="K15" s="37">
        <f>497+1045.5+849+74+12.5</f>
        <v>2478</v>
      </c>
      <c r="L15" s="37">
        <f>13.5+7+6.5+19+24.5</f>
        <v>70.5</v>
      </c>
      <c r="M15" s="37">
        <f>70.5+125+245.5+81+4.5</f>
        <v>526.5</v>
      </c>
      <c r="N15" s="37">
        <f>8+57.5+49.5+41</f>
        <v>156</v>
      </c>
      <c r="O15" s="38">
        <f>200+258.5+147.5+114.5</f>
        <v>720.5</v>
      </c>
      <c r="P15" s="38">
        <f>33.5</f>
        <v>33.5</v>
      </c>
      <c r="Q15" s="37">
        <f>10.5+24+9.5</f>
        <v>44</v>
      </c>
      <c r="R15" s="38">
        <f>4</f>
        <v>4</v>
      </c>
      <c r="S15" s="38"/>
      <c r="T15" s="38">
        <f>125+8.5+9.5+25</f>
        <v>168</v>
      </c>
      <c r="U15" s="38">
        <f>964.5+86+57.5</f>
        <v>1108</v>
      </c>
      <c r="V15" s="38">
        <f>253+45.5+9+10+46+128.5+39</f>
        <v>531</v>
      </c>
      <c r="W15" s="38">
        <f>11.5+28.5</f>
        <v>40</v>
      </c>
      <c r="X15" s="38">
        <f>1457+827+3849+3098</f>
        <v>9231</v>
      </c>
      <c r="Y15" s="38">
        <f>1148.5+341.5+1455+828+80</f>
        <v>3853</v>
      </c>
      <c r="Z15" s="38">
        <f>8+7+10.5</f>
        <v>25.5</v>
      </c>
      <c r="AA15" s="38"/>
      <c r="AB15" s="38">
        <f>8+5</f>
        <v>13</v>
      </c>
      <c r="AC15" s="38"/>
      <c r="AD15" s="39">
        <f>15+8+5.5+15.5</f>
        <v>44</v>
      </c>
      <c r="AE15" s="38">
        <f>4</f>
        <v>4</v>
      </c>
      <c r="AF15" s="38"/>
      <c r="AG15" s="38">
        <f>156+48.5+23+51+27.5+42</f>
        <v>348</v>
      </c>
      <c r="AH15" s="38">
        <f>369.5+101+7+71+134.5+9.5</f>
        <v>692.5</v>
      </c>
      <c r="AI15" s="38">
        <f>12.5+17+18.5+7+75</f>
        <v>130</v>
      </c>
      <c r="AJ15" s="38">
        <f>6+28+19.5</f>
        <v>53.5</v>
      </c>
      <c r="AK15" s="38"/>
      <c r="AL15" s="38">
        <f>377+24.5+54.5+49.5+36.5</f>
        <v>542</v>
      </c>
      <c r="AM15" s="38"/>
      <c r="AN15" s="38"/>
      <c r="AO15" s="38">
        <f>34+7+9</f>
        <v>50</v>
      </c>
      <c r="AP15" s="38"/>
      <c r="AQ15" s="38">
        <f>6+7</f>
        <v>13</v>
      </c>
      <c r="AR15" s="38"/>
      <c r="AS15" s="38">
        <f>7.5</f>
        <v>7.5</v>
      </c>
      <c r="AT15" s="38"/>
      <c r="AU15" s="38"/>
      <c r="AV15" s="38"/>
      <c r="AW15" s="38"/>
      <c r="AX15" s="38"/>
      <c r="AY15" s="38"/>
      <c r="AZ15" s="38">
        <f>2+13.5+2</f>
        <v>17.5</v>
      </c>
      <c r="BA15" s="38">
        <f>312.5+3451.5+242.5+57.5+611.5+76+32+10.5+181.5+2052.5+103+4660.5+97.5+651.5+387.5+214+132+37+12.5</f>
        <v>13323.5</v>
      </c>
      <c r="BB15" s="37">
        <f>778.5+183+595.5+403+24.5</f>
        <v>1984.5</v>
      </c>
      <c r="BC15" s="37"/>
      <c r="BD15" s="37"/>
      <c r="BE15" s="38"/>
      <c r="BF15" s="38">
        <f>8+11+14+3</f>
        <v>36</v>
      </c>
      <c r="BG15" s="19">
        <f t="shared" si="0"/>
        <v>40988.5</v>
      </c>
      <c r="BH15" s="40"/>
      <c r="BI15" s="40"/>
    </row>
    <row r="16" spans="2:61">
      <c r="B16" s="48"/>
      <c r="C16" s="48"/>
      <c r="D16" s="48"/>
      <c r="E16" s="48"/>
      <c r="F16" s="48"/>
      <c r="G16" s="20"/>
      <c r="H16" s="20"/>
      <c r="I16" s="20"/>
      <c r="J16" s="20"/>
      <c r="K16" s="20"/>
      <c r="L16" s="20"/>
      <c r="M16" s="20"/>
      <c r="N16" s="20"/>
      <c r="O16" s="19"/>
      <c r="P16" s="19"/>
      <c r="Q16" s="20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20"/>
      <c r="BC16" s="20"/>
      <c r="BD16" s="20"/>
      <c r="BE16" s="19"/>
      <c r="BF16" s="19"/>
      <c r="BG16" s="19">
        <f t="shared" si="0"/>
        <v>0</v>
      </c>
      <c r="BH16" s="17"/>
      <c r="BI16" s="17"/>
    </row>
    <row r="17" spans="1:61">
      <c r="B17" s="47"/>
      <c r="C17" s="47" t="s">
        <v>88</v>
      </c>
      <c r="D17" s="47">
        <v>2019</v>
      </c>
      <c r="E17" s="47" t="s">
        <v>108</v>
      </c>
      <c r="F17" s="47">
        <v>22</v>
      </c>
      <c r="G17" s="20">
        <f>27+8+30+646.5+349</f>
        <v>1060.5</v>
      </c>
      <c r="H17" s="20">
        <f>3.5+8.5+7+16.5+56.5+29+2.5</f>
        <v>123.5</v>
      </c>
      <c r="I17" s="20">
        <f>22.5+26+488+14.5</f>
        <v>551</v>
      </c>
      <c r="J17" s="20"/>
      <c r="K17" s="20">
        <f>29+922</f>
        <v>951</v>
      </c>
      <c r="L17" s="20">
        <f>47+1.5</f>
        <v>48.5</v>
      </c>
      <c r="M17" s="20">
        <f>45+66+30+186</f>
        <v>327</v>
      </c>
      <c r="N17" s="20">
        <f>5.5+65.5+16.5</f>
        <v>87.5</v>
      </c>
      <c r="O17" s="19">
        <f>994+76+1031</f>
        <v>2101</v>
      </c>
      <c r="P17" s="19">
        <f>12+282.5</f>
        <v>294.5</v>
      </c>
      <c r="Q17" s="20">
        <f>27.5+32.5</f>
        <v>60</v>
      </c>
      <c r="R17" s="19"/>
      <c r="S17" s="19"/>
      <c r="T17" s="19">
        <f>111+26+21+90.5</f>
        <v>248.5</v>
      </c>
      <c r="U17" s="19">
        <f>56.5+6.5+180.5+867</f>
        <v>1110.5</v>
      </c>
      <c r="V17" s="19">
        <f>12.5+39+22+177+9+17</f>
        <v>276.5</v>
      </c>
      <c r="W17" s="19"/>
      <c r="X17" s="19">
        <f>3484.5+578.5</f>
        <v>4063</v>
      </c>
      <c r="Y17" s="19">
        <f>1009.5+393.5+136.5+1743+1059</f>
        <v>4341.5</v>
      </c>
      <c r="Z17" s="19">
        <f>15.5</f>
        <v>15.5</v>
      </c>
      <c r="AA17" s="19"/>
      <c r="AB17" s="19"/>
      <c r="AC17" s="19"/>
      <c r="AD17" s="19">
        <f>98+47.5+37+232+68</f>
        <v>482.5</v>
      </c>
      <c r="AE17" s="19">
        <f>3.5</f>
        <v>3.5</v>
      </c>
      <c r="AF17" s="19"/>
      <c r="AG17" s="19">
        <f>1959.5+176+595.5+538</f>
        <v>3269</v>
      </c>
      <c r="AH17" s="19">
        <f>34.5+10+14.5+20+16+537.5+24+7.5</f>
        <v>664</v>
      </c>
      <c r="AI17" s="19"/>
      <c r="AJ17" s="19"/>
      <c r="AK17" s="19"/>
      <c r="AL17" s="19">
        <f>102.5+22+15.5+45.5+286.5</f>
        <v>472</v>
      </c>
      <c r="AM17" s="19">
        <f>49.5+62.5+5.5+29.5</f>
        <v>147</v>
      </c>
      <c r="AN17" s="19"/>
      <c r="AO17" s="19">
        <f>30</f>
        <v>30</v>
      </c>
      <c r="AP17" s="19"/>
      <c r="AQ17" s="19">
        <f>5.5+13</f>
        <v>18.5</v>
      </c>
      <c r="AR17" s="19"/>
      <c r="AS17" s="19"/>
      <c r="AT17" s="19"/>
      <c r="AU17" s="19"/>
      <c r="AV17" s="19"/>
      <c r="AW17" s="19"/>
      <c r="AX17" s="19"/>
      <c r="AY17" s="19"/>
      <c r="AZ17" s="19">
        <f>6+14+24.5</f>
        <v>44.5</v>
      </c>
      <c r="BA17" s="19">
        <f>4861+810.5+532.5+74+3291+614+76+152.5+1020+66+197.5+1016.5+88+924.5+151+53.5+26+8</f>
        <v>13962.5</v>
      </c>
      <c r="BB17" s="19">
        <f>38+142+190.5</f>
        <v>370.5</v>
      </c>
      <c r="BC17" s="19">
        <f>467.5+514</f>
        <v>981.5</v>
      </c>
      <c r="BD17" s="20">
        <f>52.5</f>
        <v>52.5</v>
      </c>
      <c r="BE17" s="19"/>
      <c r="BF17" s="19">
        <f>24+3.5</f>
        <v>27.5</v>
      </c>
      <c r="BG17" s="19">
        <f t="shared" si="0"/>
        <v>36185.5</v>
      </c>
      <c r="BH17" s="17"/>
      <c r="BI17" s="17"/>
    </row>
    <row r="18" spans="1:61">
      <c r="B18" s="48"/>
      <c r="C18" s="48"/>
      <c r="D18" s="48"/>
      <c r="E18" s="48"/>
      <c r="F18" s="48"/>
      <c r="G18" s="20"/>
      <c r="H18" s="20"/>
      <c r="I18" s="20"/>
      <c r="J18" s="20"/>
      <c r="K18" s="20"/>
      <c r="L18" s="20"/>
      <c r="M18" s="20"/>
      <c r="N18" s="20"/>
      <c r="O18" s="19"/>
      <c r="P18" s="19"/>
      <c r="Q18" s="20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20"/>
      <c r="BE18" s="19"/>
      <c r="BF18" s="19"/>
      <c r="BG18" s="19">
        <f t="shared" si="0"/>
        <v>0</v>
      </c>
      <c r="BH18" s="17"/>
      <c r="BI18" s="17"/>
    </row>
    <row r="19" spans="1:61">
      <c r="B19" s="47"/>
      <c r="C19" s="47" t="s">
        <v>101</v>
      </c>
      <c r="D19" s="47">
        <v>2019</v>
      </c>
      <c r="E19" s="47" t="s">
        <v>108</v>
      </c>
      <c r="F19" s="47">
        <v>23</v>
      </c>
      <c r="G19" s="20">
        <f>6.5+24.5+46+54+17+33.5+136+703</f>
        <v>1020.5</v>
      </c>
      <c r="H19" s="20">
        <f>23+10.5+52.5+1.5+23+11+12</f>
        <v>133.5</v>
      </c>
      <c r="I19" s="20">
        <f>3+25+544</f>
        <v>572</v>
      </c>
      <c r="J19" s="20"/>
      <c r="K19" s="20">
        <f>42.5+15+977</f>
        <v>1034.5</v>
      </c>
      <c r="L19" s="20">
        <f>8</f>
        <v>8</v>
      </c>
      <c r="M19" s="20">
        <f>15+13+137+22.5+273</f>
        <v>460.5</v>
      </c>
      <c r="N19" s="20">
        <f>13.5+78</f>
        <v>91.5</v>
      </c>
      <c r="O19" s="19">
        <f>1031.5+10</f>
        <v>1041.5</v>
      </c>
      <c r="P19" s="19">
        <f>230.5+165.5</f>
        <v>396</v>
      </c>
      <c r="Q19" s="20">
        <f>53.5+10</f>
        <v>63.5</v>
      </c>
      <c r="R19" s="19"/>
      <c r="S19" s="19"/>
      <c r="T19" s="19">
        <f>131+5+71</f>
        <v>207</v>
      </c>
      <c r="U19" s="19">
        <f>60+329</f>
        <v>389</v>
      </c>
      <c r="V19" s="19">
        <f>47.5</f>
        <v>47.5</v>
      </c>
      <c r="W19" s="19">
        <f>37.5</f>
        <v>37.5</v>
      </c>
      <c r="X19" s="19"/>
      <c r="Y19" s="19">
        <f>4006.5+978.5+5463+889.5+200.5+84</f>
        <v>11622</v>
      </c>
      <c r="Z19" s="19">
        <f>3+14</f>
        <v>17</v>
      </c>
      <c r="AA19" s="19"/>
      <c r="AB19" s="19">
        <f>7.5</f>
        <v>7.5</v>
      </c>
      <c r="AC19" s="19">
        <f>4.5</f>
        <v>4.5</v>
      </c>
      <c r="AD19" s="19">
        <f>22+516+246</f>
        <v>784</v>
      </c>
      <c r="AE19" s="19">
        <f>4</f>
        <v>4</v>
      </c>
      <c r="AF19" s="19"/>
      <c r="AG19" s="19">
        <f>1482.5+789+43.5+45</f>
        <v>2360</v>
      </c>
      <c r="AH19" s="19">
        <f>182+137.5+15+58+12.5+41+231.5+33.5</f>
        <v>711</v>
      </c>
      <c r="AI19" s="19">
        <f>2.5</f>
        <v>2.5</v>
      </c>
      <c r="AJ19" s="19"/>
      <c r="AK19" s="19"/>
      <c r="AL19" s="19">
        <f>69+18.5+48+186.5</f>
        <v>322</v>
      </c>
      <c r="AM19" s="19">
        <f>87.5+28</f>
        <v>115.5</v>
      </c>
      <c r="AN19" s="19"/>
      <c r="AO19" s="19">
        <f>3+12</f>
        <v>15</v>
      </c>
      <c r="AP19" s="19"/>
      <c r="AQ19" s="19">
        <f>5</f>
        <v>5</v>
      </c>
      <c r="AR19" s="19"/>
      <c r="AS19" s="19"/>
      <c r="AT19" s="19"/>
      <c r="AU19" s="19"/>
      <c r="AV19" s="19"/>
      <c r="AW19" s="19"/>
      <c r="AX19" s="19"/>
      <c r="AY19" s="19"/>
      <c r="AZ19" s="19">
        <f>14.5+11</f>
        <v>25.5</v>
      </c>
      <c r="BA19" s="19">
        <f>92.5+613.5+35+351.5+140.5+47+16+8340+696.5+79.5+1227+1308.5+32.5+152+424.5+286.5+77+30</f>
        <v>13950</v>
      </c>
      <c r="BB19" s="19">
        <f>1069+580</f>
        <v>1649</v>
      </c>
      <c r="BC19" s="19"/>
      <c r="BD19" s="20">
        <f>1044.5+1204</f>
        <v>2248.5</v>
      </c>
      <c r="BE19" s="19"/>
      <c r="BF19" s="19"/>
      <c r="BG19" s="19">
        <f t="shared" si="0"/>
        <v>39345.5</v>
      </c>
      <c r="BH19" s="17"/>
      <c r="BI19" s="17"/>
    </row>
    <row r="20" spans="1:61">
      <c r="B20" s="48"/>
      <c r="C20" s="48"/>
      <c r="D20" s="48"/>
      <c r="E20" s="48"/>
      <c r="F20" s="48"/>
      <c r="G20" s="20"/>
      <c r="H20" s="20"/>
      <c r="I20" s="20"/>
      <c r="J20" s="20"/>
      <c r="K20" s="20"/>
      <c r="L20" s="20"/>
      <c r="M20" s="20"/>
      <c r="N20" s="20"/>
      <c r="O20" s="19"/>
      <c r="P20" s="19"/>
      <c r="Q20" s="20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20"/>
      <c r="BE20" s="19"/>
      <c r="BF20" s="19"/>
      <c r="BG20" s="19">
        <f t="shared" si="0"/>
        <v>0</v>
      </c>
      <c r="BH20" s="17"/>
      <c r="BI20" s="17"/>
    </row>
    <row r="21" spans="1:61">
      <c r="B21" s="47"/>
      <c r="C21" s="47" t="s">
        <v>115</v>
      </c>
      <c r="D21" s="47">
        <v>2019</v>
      </c>
      <c r="E21" s="47" t="s">
        <v>116</v>
      </c>
      <c r="F21" s="47">
        <v>2</v>
      </c>
      <c r="G21" s="20">
        <f>743+280.5+107+39+136+2.5</f>
        <v>1308</v>
      </c>
      <c r="H21" s="20">
        <f>279.5+22.5+5+55+5.5+16.5+34.5+4.5+18</f>
        <v>441</v>
      </c>
      <c r="I21" s="20">
        <f>89.5+30+24.5+22</f>
        <v>166</v>
      </c>
      <c r="J21" s="20">
        <f>15.5</f>
        <v>15.5</v>
      </c>
      <c r="K21" s="20">
        <f>21+7+4.5</f>
        <v>32.5</v>
      </c>
      <c r="L21" s="20"/>
      <c r="M21" s="20">
        <f>231+70+14.5+56+7.5+145.5</f>
        <v>524.5</v>
      </c>
      <c r="N21" s="20">
        <f>12+11.5</f>
        <v>23.5</v>
      </c>
      <c r="O21" s="19">
        <f>1265.5+28.5+100</f>
        <v>1394</v>
      </c>
      <c r="P21" s="19">
        <f>980.5+81</f>
        <v>1061.5</v>
      </c>
      <c r="Q21" s="20">
        <f>149+59+17.5+14.5+11.5</f>
        <v>251.5</v>
      </c>
      <c r="R21" s="19"/>
      <c r="S21" s="19">
        <f>7.5</f>
        <v>7.5</v>
      </c>
      <c r="T21" s="19">
        <f>165+78.5+6+7.5+11+49.5</f>
        <v>317.5</v>
      </c>
      <c r="U21" s="19">
        <f>106.5+177</f>
        <v>283.5</v>
      </c>
      <c r="V21" s="19"/>
      <c r="W21" s="19">
        <f>5</f>
        <v>5</v>
      </c>
      <c r="X21" s="19">
        <f>1507+2830+202+3496.5</f>
        <v>8035.5</v>
      </c>
      <c r="Y21" s="19">
        <f>285+515+68+673+5157.5+787</f>
        <v>7485.5</v>
      </c>
      <c r="Z21" s="19">
        <f>17</f>
        <v>17</v>
      </c>
      <c r="AA21" s="19"/>
      <c r="AB21" s="19"/>
      <c r="AC21" s="19">
        <f>96+18+17+10.5+8.5</f>
        <v>150</v>
      </c>
      <c r="AD21" s="19">
        <f>19+49+22.5+43.5+27.5</f>
        <v>161.5</v>
      </c>
      <c r="AE21" s="19">
        <f>3</f>
        <v>3</v>
      </c>
      <c r="AF21" s="19"/>
      <c r="AG21" s="19">
        <f>1525+1625+28.5+109.5+14.5</f>
        <v>3302.5</v>
      </c>
      <c r="AH21" s="19">
        <f>283+53.5+8+298.5+15.5+22.5+8.5+15+5.5</f>
        <v>710</v>
      </c>
      <c r="AI21" s="19">
        <f>3</f>
        <v>3</v>
      </c>
      <c r="AJ21" s="19"/>
      <c r="AK21" s="19"/>
      <c r="AL21" s="19">
        <f>208+54+15+83.5+14</f>
        <v>374.5</v>
      </c>
      <c r="AM21" s="19">
        <f>32+15.5+35+32.5</f>
        <v>115</v>
      </c>
      <c r="AN21" s="19"/>
      <c r="AO21" s="19"/>
      <c r="AP21" s="19"/>
      <c r="AQ21" s="19">
        <f>9+10</f>
        <v>19</v>
      </c>
      <c r="AR21" s="19"/>
      <c r="AS21" s="19">
        <f>20.5+18.5</f>
        <v>39</v>
      </c>
      <c r="AT21" s="19"/>
      <c r="AU21" s="19">
        <f>17</f>
        <v>17</v>
      </c>
      <c r="AV21" s="19"/>
      <c r="AW21" s="19"/>
      <c r="AX21" s="19"/>
      <c r="AY21" s="19"/>
      <c r="AZ21" s="19">
        <f>7.5+4.5</f>
        <v>12</v>
      </c>
      <c r="BA21" s="19">
        <f>1325.5+211.5+83+22+1795.5+723.5+105.5+42+323+13+33+112+4751.5+423+1313.5+59+2066+477.5+110.5+23.5</f>
        <v>14014</v>
      </c>
      <c r="BB21" s="19">
        <f>513+500.5+83.5+666+562.5</f>
        <v>2325.5</v>
      </c>
      <c r="BC21" s="19"/>
      <c r="BD21" s="20">
        <f>23.5+16</f>
        <v>39.5</v>
      </c>
      <c r="BE21" s="19">
        <f>21</f>
        <v>21</v>
      </c>
      <c r="BF21" s="19">
        <f>39.5+14.5+13+15.5</f>
        <v>82.5</v>
      </c>
      <c r="BG21" s="19">
        <f t="shared" si="0"/>
        <v>42758.5</v>
      </c>
      <c r="BH21" s="17"/>
      <c r="BI21" s="17"/>
    </row>
    <row r="22" spans="1:61">
      <c r="B22" s="48"/>
      <c r="C22" s="48"/>
      <c r="D22" s="48"/>
      <c r="E22" s="48"/>
      <c r="F22" s="48"/>
      <c r="G22" s="20"/>
      <c r="H22" s="20"/>
      <c r="I22" s="20"/>
      <c r="J22" s="20"/>
      <c r="K22" s="20"/>
      <c r="L22" s="20"/>
      <c r="M22" s="20"/>
      <c r="N22" s="20"/>
      <c r="O22" s="19"/>
      <c r="P22" s="19"/>
      <c r="Q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20"/>
      <c r="BE22" s="19"/>
      <c r="BF22" s="19"/>
      <c r="BG22" s="19">
        <f t="shared" si="0"/>
        <v>0</v>
      </c>
      <c r="BH22" s="17"/>
      <c r="BI22" s="17"/>
    </row>
    <row r="23" spans="1:61">
      <c r="B23" s="47" t="s">
        <v>117</v>
      </c>
      <c r="C23" s="47" t="s">
        <v>118</v>
      </c>
      <c r="D23" s="47">
        <v>2019</v>
      </c>
      <c r="E23" s="47" t="s">
        <v>116</v>
      </c>
      <c r="F23" s="47">
        <v>6</v>
      </c>
      <c r="G23" s="20">
        <f>43.5+45+54.5+28</f>
        <v>171</v>
      </c>
      <c r="H23" s="20">
        <f>7.5+47+3</f>
        <v>57.5</v>
      </c>
      <c r="I23" s="20">
        <f>8.5</f>
        <v>8.5</v>
      </c>
      <c r="J23" s="20"/>
      <c r="K23" s="20">
        <f>91.5+54</f>
        <v>145.5</v>
      </c>
      <c r="L23" s="20"/>
      <c r="M23" s="20">
        <f>47+10</f>
        <v>57</v>
      </c>
      <c r="N23" s="20">
        <f>20</f>
        <v>20</v>
      </c>
      <c r="O23" s="19">
        <f>22+11</f>
        <v>33</v>
      </c>
      <c r="P23" s="19"/>
      <c r="Q23" s="20">
        <f>3</f>
        <v>3</v>
      </c>
      <c r="R23" s="19"/>
      <c r="S23" s="19"/>
      <c r="T23" s="19">
        <f>57+70.5</f>
        <v>127.5</v>
      </c>
      <c r="U23" s="19">
        <f>1239.5</f>
        <v>1239.5</v>
      </c>
      <c r="V23" s="19">
        <f>6+10+815+5</f>
        <v>836</v>
      </c>
      <c r="W23" s="19">
        <f>3.5</f>
        <v>3.5</v>
      </c>
      <c r="X23" s="19">
        <f>634+527.5</f>
        <v>1161.5</v>
      </c>
      <c r="Y23" s="19">
        <f>744+745</f>
        <v>1489</v>
      </c>
      <c r="Z23" s="19">
        <f>4.5+2</f>
        <v>6.5</v>
      </c>
      <c r="AA23" s="19"/>
      <c r="AB23" s="19"/>
      <c r="AC23" s="19"/>
      <c r="AD23" s="19">
        <f>301.5+198</f>
        <v>499.5</v>
      </c>
      <c r="AE23" s="19"/>
      <c r="AF23" s="19"/>
      <c r="AG23" s="19">
        <f>1169+643</f>
        <v>1812</v>
      </c>
      <c r="AH23" s="19">
        <f>235+170+34+10</f>
        <v>449</v>
      </c>
      <c r="AI23" s="19">
        <f>1</f>
        <v>1</v>
      </c>
      <c r="AJ23" s="19"/>
      <c r="AK23" s="19">
        <f>13.5</f>
        <v>13.5</v>
      </c>
      <c r="AL23" s="19">
        <f>218.5+109.5</f>
        <v>328</v>
      </c>
      <c r="AM23" s="19">
        <f>139.5+90</f>
        <v>229.5</v>
      </c>
      <c r="AN23" s="19"/>
      <c r="AO23" s="19">
        <f>3</f>
        <v>3</v>
      </c>
      <c r="AP23" s="19"/>
      <c r="AQ23" s="19"/>
      <c r="AR23" s="19"/>
      <c r="AS23" s="19">
        <f>41</f>
        <v>41</v>
      </c>
      <c r="AT23" s="19"/>
      <c r="AU23" s="19">
        <f>16.5</f>
        <v>16.5</v>
      </c>
      <c r="AV23" s="19"/>
      <c r="AW23" s="19"/>
      <c r="AX23" s="19"/>
      <c r="AY23" s="19"/>
      <c r="AZ23" s="19"/>
      <c r="BA23" s="19">
        <f>115+2159.5+131+720+1377+89.5+457.5+69</f>
        <v>5118.5</v>
      </c>
      <c r="BB23" s="19">
        <f>695.5+14+400.5</f>
        <v>1110</v>
      </c>
      <c r="BC23" s="19">
        <f>3</f>
        <v>3</v>
      </c>
      <c r="BD23" s="20">
        <f>17</f>
        <v>17</v>
      </c>
      <c r="BE23" s="19"/>
      <c r="BF23" s="19"/>
      <c r="BG23" s="19">
        <f t="shared" si="0"/>
        <v>15000.5</v>
      </c>
      <c r="BH23" s="17"/>
      <c r="BI23" s="17"/>
    </row>
    <row r="24" spans="1:61">
      <c r="B24" s="48"/>
      <c r="C24" s="48"/>
      <c r="D24" s="48"/>
      <c r="E24" s="48"/>
      <c r="F24" s="48"/>
      <c r="G24" s="20"/>
      <c r="H24" s="20"/>
      <c r="I24" s="20"/>
      <c r="J24" s="20"/>
      <c r="K24" s="20"/>
      <c r="L24" s="20"/>
      <c r="M24" s="20"/>
      <c r="N24" s="20"/>
      <c r="O24" s="19"/>
      <c r="P24" s="19"/>
      <c r="Q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20"/>
      <c r="BE24" s="19"/>
      <c r="BF24" s="19"/>
      <c r="BG24" s="19">
        <f t="shared" si="0"/>
        <v>0</v>
      </c>
      <c r="BH24" s="17"/>
      <c r="BI24" s="17"/>
    </row>
    <row r="25" spans="1:61">
      <c r="B25" s="47" t="s">
        <v>117</v>
      </c>
      <c r="C25" s="47" t="s">
        <v>91</v>
      </c>
      <c r="D25" s="47">
        <v>2019</v>
      </c>
      <c r="E25" s="47" t="s">
        <v>116</v>
      </c>
      <c r="F25" s="47">
        <v>6</v>
      </c>
      <c r="G25" s="20">
        <f>13+4</f>
        <v>17</v>
      </c>
      <c r="H25" s="20">
        <f>3.5+9.5+19</f>
        <v>32</v>
      </c>
      <c r="I25" s="20"/>
      <c r="J25" s="20">
        <f>11</f>
        <v>11</v>
      </c>
      <c r="K25" s="20"/>
      <c r="L25" s="20"/>
      <c r="M25" s="20">
        <f>31.5+5.5</f>
        <v>37</v>
      </c>
      <c r="N25" s="20">
        <f>8</f>
        <v>8</v>
      </c>
      <c r="O25" s="19"/>
      <c r="P25" s="19"/>
      <c r="Q25" s="20"/>
      <c r="R25" s="19"/>
      <c r="S25" s="19"/>
      <c r="T25" s="19"/>
      <c r="U25" s="19"/>
      <c r="V25" s="19"/>
      <c r="W25" s="19"/>
      <c r="X25" s="19">
        <f>1605.5+745.5</f>
        <v>2351</v>
      </c>
      <c r="Y25" s="19">
        <f>650.5+318.5</f>
        <v>969</v>
      </c>
      <c r="Z25" s="19"/>
      <c r="AA25" s="19"/>
      <c r="AB25" s="19"/>
      <c r="AC25" s="19"/>
      <c r="AD25" s="19">
        <f>71+117.5</f>
        <v>188.5</v>
      </c>
      <c r="AE25" s="19"/>
      <c r="AF25" s="19"/>
      <c r="AG25" s="19">
        <f>19</f>
        <v>19</v>
      </c>
      <c r="AH25" s="19"/>
      <c r="AI25" s="19"/>
      <c r="AJ25" s="19"/>
      <c r="AK25" s="19"/>
      <c r="AL25" s="19">
        <f>64.5+13</f>
        <v>77.5</v>
      </c>
      <c r="AM25" s="19">
        <f>10</f>
        <v>10</v>
      </c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>
        <f>7.5</f>
        <v>7.5</v>
      </c>
      <c r="BA25" s="19">
        <f>4016+233+598+32.5+3007+665.5+161+44</f>
        <v>8757</v>
      </c>
      <c r="BB25" s="19">
        <f>634.5+154</f>
        <v>788.5</v>
      </c>
      <c r="BC25" s="19"/>
      <c r="BD25" s="20">
        <f>3</f>
        <v>3</v>
      </c>
      <c r="BE25" s="19"/>
      <c r="BF25" s="19"/>
      <c r="BG25" s="19">
        <f t="shared" si="0"/>
        <v>13276</v>
      </c>
      <c r="BH25" s="17"/>
      <c r="BI25" s="17"/>
    </row>
    <row r="26" spans="1:61">
      <c r="B26" s="48"/>
      <c r="C26" s="48"/>
      <c r="D26" s="48"/>
      <c r="E26" s="48"/>
      <c r="F26" s="48"/>
      <c r="G26" s="20"/>
      <c r="H26" s="20"/>
      <c r="I26" s="20"/>
      <c r="J26" s="20"/>
      <c r="K26" s="20"/>
      <c r="L26" s="20"/>
      <c r="M26" s="20"/>
      <c r="N26" s="20"/>
      <c r="O26" s="19"/>
      <c r="P26" s="19"/>
      <c r="Q26" s="20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20"/>
      <c r="BE26" s="19"/>
      <c r="BF26" s="19"/>
      <c r="BG26" s="19">
        <f t="shared" si="0"/>
        <v>0</v>
      </c>
      <c r="BH26" s="17"/>
      <c r="BI26" s="17"/>
    </row>
    <row r="27" spans="1:61">
      <c r="B27" s="47" t="s">
        <v>119</v>
      </c>
      <c r="C27" s="47" t="s">
        <v>79</v>
      </c>
      <c r="D27" s="47">
        <v>2019</v>
      </c>
      <c r="E27" s="47" t="s">
        <v>116</v>
      </c>
      <c r="F27" s="47">
        <v>24</v>
      </c>
      <c r="G27" s="20">
        <f>17+2</f>
        <v>19</v>
      </c>
      <c r="H27" s="20">
        <f>1</f>
        <v>1</v>
      </c>
      <c r="I27" s="20"/>
      <c r="J27" s="20">
        <f>1.5</f>
        <v>1.5</v>
      </c>
      <c r="K27" s="20">
        <f>4</f>
        <v>4</v>
      </c>
      <c r="L27" s="20"/>
      <c r="M27" s="20">
        <f>10.5</f>
        <v>10.5</v>
      </c>
      <c r="N27" s="20">
        <f>1+2</f>
        <v>3</v>
      </c>
      <c r="O27" s="19">
        <f>3</f>
        <v>3</v>
      </c>
      <c r="P27" s="19">
        <f>1</f>
        <v>1</v>
      </c>
      <c r="Q27" s="20"/>
      <c r="R27" s="19"/>
      <c r="S27" s="19">
        <f>4</f>
        <v>4</v>
      </c>
      <c r="T27" s="19">
        <f>21+12.5+13.5</f>
        <v>47</v>
      </c>
      <c r="U27" s="19">
        <f>6.5</f>
        <v>6.5</v>
      </c>
      <c r="V27" s="19"/>
      <c r="W27" s="19"/>
      <c r="X27" s="19">
        <f>5061.5+895+4604+175.5</f>
        <v>10736</v>
      </c>
      <c r="Y27" s="19">
        <f>1034.5+882+759.5+59.5</f>
        <v>2735.5</v>
      </c>
      <c r="Z27" s="19"/>
      <c r="AA27" s="19"/>
      <c r="AB27" s="19">
        <f>2</f>
        <v>2</v>
      </c>
      <c r="AC27" s="19"/>
      <c r="AD27" s="19">
        <f>138+77+541.5+15</f>
        <v>771.5</v>
      </c>
      <c r="AE27" s="19"/>
      <c r="AF27" s="19"/>
      <c r="AG27" s="19">
        <f>74</f>
        <v>74</v>
      </c>
      <c r="AH27" s="19"/>
      <c r="AI27" s="19"/>
      <c r="AJ27" s="19"/>
      <c r="AK27" s="19"/>
      <c r="AL27" s="19">
        <f>30.5+37.5+8</f>
        <v>76</v>
      </c>
      <c r="AM27" s="19">
        <f>17+4.5</f>
        <v>21.5</v>
      </c>
      <c r="AN27" s="19"/>
      <c r="AO27" s="19">
        <f>3.5</f>
        <v>3.5</v>
      </c>
      <c r="AP27" s="19"/>
      <c r="AQ27" s="19"/>
      <c r="AR27" s="19"/>
      <c r="AS27" s="19">
        <f>3.5</f>
        <v>3.5</v>
      </c>
      <c r="AT27" s="19"/>
      <c r="AU27" s="19"/>
      <c r="AV27" s="19"/>
      <c r="AW27" s="19"/>
      <c r="AX27" s="19"/>
      <c r="AY27" s="19"/>
      <c r="AZ27" s="19">
        <f>4+2+7</f>
        <v>13</v>
      </c>
      <c r="BA27" s="19">
        <f>4830+686.5+236.5+27+3992.5+316+519.5+48.5+6159.5+1437.5+612.5+25.5+328.5+114.5+16.5+45.5</f>
        <v>19396.5</v>
      </c>
      <c r="BB27" s="19">
        <f>554.5+372.5+522+46.5</f>
        <v>1495.5</v>
      </c>
      <c r="BC27" s="19"/>
      <c r="BD27" s="20">
        <f>5</f>
        <v>5</v>
      </c>
      <c r="BE27" s="19"/>
      <c r="BF27" s="19"/>
      <c r="BG27" s="19">
        <f t="shared" si="0"/>
        <v>35434</v>
      </c>
      <c r="BH27" s="17"/>
      <c r="BI27" s="17"/>
    </row>
    <row r="28" spans="1:61" ht="15.75" thickBot="1">
      <c r="B28" s="48"/>
      <c r="C28" s="48"/>
      <c r="D28" s="48"/>
      <c r="E28" s="48"/>
      <c r="F28" s="48"/>
      <c r="G28" s="20"/>
      <c r="H28" s="20"/>
      <c r="I28" s="20"/>
      <c r="J28" s="20"/>
      <c r="K28" s="20"/>
      <c r="L28" s="20"/>
      <c r="M28" s="20"/>
      <c r="N28" s="20"/>
      <c r="O28" s="19"/>
      <c r="P28" s="19"/>
      <c r="Q28" s="20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20"/>
      <c r="BE28" s="19"/>
      <c r="BF28" s="19"/>
      <c r="BG28" s="19">
        <f t="shared" si="0"/>
        <v>0</v>
      </c>
      <c r="BH28" s="17"/>
      <c r="BI28" s="17"/>
    </row>
    <row r="29" spans="1:61" ht="19.5" thickBot="1">
      <c r="B29" s="85" t="s">
        <v>30</v>
      </c>
      <c r="C29" s="86"/>
      <c r="D29" s="2"/>
      <c r="E29" s="2"/>
      <c r="F29" s="2"/>
      <c r="G29" s="21">
        <f t="shared" ref="G29:AL29" si="1">SUM(G7:G28)</f>
        <v>14578.5</v>
      </c>
      <c r="H29" s="21">
        <f t="shared" si="1"/>
        <v>6081.5</v>
      </c>
      <c r="I29" s="21">
        <f t="shared" si="1"/>
        <v>3211.5</v>
      </c>
      <c r="J29" s="21">
        <f t="shared" si="1"/>
        <v>914.5</v>
      </c>
      <c r="K29" s="21">
        <f t="shared" si="1"/>
        <v>9459</v>
      </c>
      <c r="L29" s="21">
        <f t="shared" si="1"/>
        <v>347</v>
      </c>
      <c r="M29" s="21">
        <f t="shared" si="1"/>
        <v>13755.5</v>
      </c>
      <c r="N29" s="21">
        <f t="shared" si="1"/>
        <v>2663</v>
      </c>
      <c r="O29" s="21">
        <f t="shared" si="1"/>
        <v>9981.5</v>
      </c>
      <c r="P29" s="21">
        <f t="shared" si="1"/>
        <v>4826</v>
      </c>
      <c r="Q29" s="21">
        <f t="shared" si="1"/>
        <v>1282.5</v>
      </c>
      <c r="R29" s="21">
        <f t="shared" si="1"/>
        <v>4</v>
      </c>
      <c r="S29" s="21">
        <f t="shared" si="1"/>
        <v>254.5</v>
      </c>
      <c r="T29" s="21">
        <f t="shared" si="1"/>
        <v>2579</v>
      </c>
      <c r="U29" s="21">
        <f t="shared" si="1"/>
        <v>7866.5</v>
      </c>
      <c r="V29" s="21">
        <f t="shared" si="1"/>
        <v>3855</v>
      </c>
      <c r="W29" s="21">
        <f t="shared" si="1"/>
        <v>386</v>
      </c>
      <c r="X29" s="21">
        <f t="shared" si="1"/>
        <v>52972.5</v>
      </c>
      <c r="Y29" s="21">
        <f t="shared" si="1"/>
        <v>40850.5</v>
      </c>
      <c r="Z29" s="21">
        <f t="shared" si="1"/>
        <v>458</v>
      </c>
      <c r="AA29" s="21">
        <f t="shared" si="1"/>
        <v>116.5</v>
      </c>
      <c r="AB29" s="21">
        <f t="shared" si="1"/>
        <v>38.5</v>
      </c>
      <c r="AC29" s="21">
        <f t="shared" si="1"/>
        <v>1060.5</v>
      </c>
      <c r="AD29" s="21">
        <f t="shared" si="1"/>
        <v>4235.5</v>
      </c>
      <c r="AE29" s="21">
        <f t="shared" si="1"/>
        <v>226.5</v>
      </c>
      <c r="AF29" s="21">
        <f t="shared" si="1"/>
        <v>0</v>
      </c>
      <c r="AG29" s="21">
        <f t="shared" si="1"/>
        <v>21286</v>
      </c>
      <c r="AH29" s="21">
        <f t="shared" si="1"/>
        <v>4762.5</v>
      </c>
      <c r="AI29" s="21">
        <f t="shared" si="1"/>
        <v>440</v>
      </c>
      <c r="AJ29" s="21">
        <f t="shared" si="1"/>
        <v>53.5</v>
      </c>
      <c r="AK29" s="21">
        <f t="shared" si="1"/>
        <v>722.5</v>
      </c>
      <c r="AL29" s="21">
        <f t="shared" si="1"/>
        <v>4716.5</v>
      </c>
      <c r="AM29" s="21">
        <f t="shared" ref="AM29:BR29" si="2">SUM(AM7:AM28)</f>
        <v>955.5</v>
      </c>
      <c r="AN29" s="21">
        <f t="shared" si="2"/>
        <v>0</v>
      </c>
      <c r="AO29" s="21">
        <f t="shared" si="2"/>
        <v>139</v>
      </c>
      <c r="AP29" s="21">
        <f t="shared" si="2"/>
        <v>9.5</v>
      </c>
      <c r="AQ29" s="21">
        <f t="shared" si="2"/>
        <v>242.5</v>
      </c>
      <c r="AR29" s="21">
        <f t="shared" si="2"/>
        <v>0</v>
      </c>
      <c r="AS29" s="21">
        <f t="shared" si="2"/>
        <v>523.5</v>
      </c>
      <c r="AT29" s="21">
        <f t="shared" si="2"/>
        <v>138</v>
      </c>
      <c r="AU29" s="21">
        <f t="shared" si="2"/>
        <v>73.5</v>
      </c>
      <c r="AV29" s="21">
        <f t="shared" si="2"/>
        <v>125</v>
      </c>
      <c r="AW29" s="21">
        <f t="shared" si="2"/>
        <v>4</v>
      </c>
      <c r="AX29" s="21">
        <f t="shared" si="2"/>
        <v>24</v>
      </c>
      <c r="AY29" s="21">
        <f t="shared" si="2"/>
        <v>0</v>
      </c>
      <c r="AZ29" s="21">
        <f t="shared" si="2"/>
        <v>868</v>
      </c>
      <c r="BA29" s="21">
        <f t="shared" si="2"/>
        <v>121661.5</v>
      </c>
      <c r="BB29" s="21">
        <f t="shared" si="2"/>
        <v>17547</v>
      </c>
      <c r="BC29" s="21">
        <f t="shared" si="2"/>
        <v>984.5</v>
      </c>
      <c r="BD29" s="21">
        <f t="shared" si="2"/>
        <v>7054</v>
      </c>
      <c r="BE29" s="21">
        <f t="shared" si="2"/>
        <v>193</v>
      </c>
      <c r="BF29" s="21">
        <f t="shared" si="2"/>
        <v>551.5</v>
      </c>
      <c r="BG29" s="22">
        <f>SUM(BG7:BG28)</f>
        <v>365079</v>
      </c>
      <c r="BH29" s="17"/>
      <c r="BI29" s="17"/>
    </row>
    <row r="30" spans="1:61"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</row>
    <row r="31" spans="1:61"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42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44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I31" s="17"/>
    </row>
    <row r="32" spans="1:61">
      <c r="A32" s="36" t="s">
        <v>106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43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I32" s="17"/>
    </row>
    <row r="33" spans="15:59"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</row>
    <row r="198" spans="2:6">
      <c r="B198" s="94"/>
      <c r="C198" s="94"/>
      <c r="D198" s="94"/>
      <c r="E198" s="94"/>
      <c r="F198" s="94"/>
    </row>
  </sheetData>
  <mergeCells count="166">
    <mergeCell ref="AW5:AW6"/>
    <mergeCell ref="AU3:AU4"/>
    <mergeCell ref="AU5:AU6"/>
    <mergeCell ref="B29:C29"/>
    <mergeCell ref="B198:F198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B13:B14"/>
    <mergeCell ref="C13:C14"/>
    <mergeCell ref="D13:D14"/>
    <mergeCell ref="E13:E14"/>
    <mergeCell ref="F13:F14"/>
    <mergeCell ref="B15:B16"/>
    <mergeCell ref="C15:C16"/>
    <mergeCell ref="D15:D16"/>
    <mergeCell ref="E15:E16"/>
    <mergeCell ref="F15:F16"/>
    <mergeCell ref="B9:B10"/>
    <mergeCell ref="C9:C10"/>
    <mergeCell ref="D9:D10"/>
    <mergeCell ref="E9:E10"/>
    <mergeCell ref="F9:F10"/>
    <mergeCell ref="B11:B12"/>
    <mergeCell ref="C11:C12"/>
    <mergeCell ref="D11:D12"/>
    <mergeCell ref="E11:E12"/>
    <mergeCell ref="F11:F12"/>
    <mergeCell ref="B7:B8"/>
    <mergeCell ref="C7:C8"/>
    <mergeCell ref="D7:D8"/>
    <mergeCell ref="E7:E8"/>
    <mergeCell ref="F7:F8"/>
    <mergeCell ref="AS5:AS6"/>
    <mergeCell ref="AV5:AV6"/>
    <mergeCell ref="AX5:AX6"/>
    <mergeCell ref="AY5:AY6"/>
    <mergeCell ref="AM5:AM6"/>
    <mergeCell ref="AN5:AN6"/>
    <mergeCell ref="AO5:AO6"/>
    <mergeCell ref="AP5:AP6"/>
    <mergeCell ref="AQ5:AQ6"/>
    <mergeCell ref="AR5:AR6"/>
    <mergeCell ref="AG5:AG6"/>
    <mergeCell ref="AH5:AH6"/>
    <mergeCell ref="AI5:AI6"/>
    <mergeCell ref="AJ5:AJ6"/>
    <mergeCell ref="U5:U6"/>
    <mergeCell ref="V5:V6"/>
    <mergeCell ref="W5:W6"/>
    <mergeCell ref="X5:X6"/>
    <mergeCell ref="Y5:Y6"/>
    <mergeCell ref="BB5:BB6"/>
    <mergeCell ref="BC5:BC6"/>
    <mergeCell ref="BD5:BD6"/>
    <mergeCell ref="AZ5:AZ6"/>
    <mergeCell ref="BA5:BA6"/>
    <mergeCell ref="Z4:AA4"/>
    <mergeCell ref="AK5:AK6"/>
    <mergeCell ref="AL5:AL6"/>
    <mergeCell ref="AA5:AA6"/>
    <mergeCell ref="AB5:AB6"/>
    <mergeCell ref="AC5:AC6"/>
    <mergeCell ref="AD5:AD6"/>
    <mergeCell ref="AE5:AE6"/>
    <mergeCell ref="AF5:AF6"/>
    <mergeCell ref="BD3:BD4"/>
    <mergeCell ref="AF3:AF4"/>
    <mergeCell ref="AG3:AH3"/>
    <mergeCell ref="AI3:AI4"/>
    <mergeCell ref="AJ3:AK3"/>
    <mergeCell ref="AL3:AM3"/>
    <mergeCell ref="AG4:AH4"/>
    <mergeCell ref="AJ4:AK4"/>
    <mergeCell ref="AL4:AM4"/>
    <mergeCell ref="AW3:AW4"/>
    <mergeCell ref="AT3:AT4"/>
    <mergeCell ref="AT5:AT6"/>
    <mergeCell ref="M5:M6"/>
    <mergeCell ref="N5:N6"/>
    <mergeCell ref="O5:O6"/>
    <mergeCell ref="P5:P6"/>
    <mergeCell ref="S5:S6"/>
    <mergeCell ref="T5:T6"/>
    <mergeCell ref="G5:G6"/>
    <mergeCell ref="H5:H6"/>
    <mergeCell ref="I5:I6"/>
    <mergeCell ref="J5:J6"/>
    <mergeCell ref="K5:K6"/>
    <mergeCell ref="L5:L6"/>
    <mergeCell ref="Z5:Z6"/>
    <mergeCell ref="G3:H3"/>
    <mergeCell ref="I3:J3"/>
    <mergeCell ref="Z3:AA3"/>
    <mergeCell ref="AB3:AB4"/>
    <mergeCell ref="AC3:AC4"/>
    <mergeCell ref="AD3:AD4"/>
    <mergeCell ref="X4:Y4"/>
    <mergeCell ref="AE3:AE4"/>
    <mergeCell ref="BE3:BE6"/>
    <mergeCell ref="BF3:BF6"/>
    <mergeCell ref="BG3:BG6"/>
    <mergeCell ref="G4:H4"/>
    <mergeCell ref="I4:J4"/>
    <mergeCell ref="K4:L4"/>
    <mergeCell ref="O4:P4"/>
    <mergeCell ref="Q4:Q6"/>
    <mergeCell ref="R4:R6"/>
    <mergeCell ref="AV3:AV4"/>
    <mergeCell ref="AX3:AX4"/>
    <mergeCell ref="AY3:AY4"/>
    <mergeCell ref="AZ3:BA3"/>
    <mergeCell ref="BB3:BB4"/>
    <mergeCell ref="BC3:BC4"/>
    <mergeCell ref="AZ4:BA4"/>
    <mergeCell ref="AN3:AN4"/>
    <mergeCell ref="AO3:AO4"/>
    <mergeCell ref="AP3:AP4"/>
    <mergeCell ref="AQ3:AQ4"/>
    <mergeCell ref="AR3:AR4"/>
    <mergeCell ref="AS3:AS4"/>
    <mergeCell ref="W3:W4"/>
    <mergeCell ref="X3:Y3"/>
    <mergeCell ref="B2:C2"/>
    <mergeCell ref="K3:L3"/>
    <mergeCell ref="N3:N4"/>
    <mergeCell ref="O3:P3"/>
    <mergeCell ref="S3:S4"/>
    <mergeCell ref="T3:T4"/>
    <mergeCell ref="U3:V3"/>
    <mergeCell ref="U4:V4"/>
    <mergeCell ref="D2:F2"/>
    <mergeCell ref="K2:L2"/>
    <mergeCell ref="O2:P2"/>
    <mergeCell ref="B3:B6"/>
    <mergeCell ref="C3:C6"/>
    <mergeCell ref="D3:D6"/>
    <mergeCell ref="E3:E6"/>
    <mergeCell ref="F3:F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Q1</vt:lpstr>
      <vt:lpstr>Q2</vt:lpstr>
      <vt:lpstr>Q3</vt:lpstr>
      <vt:lpstr>'Q1'!Print_Area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FIP</cp:lastModifiedBy>
  <cp:lastPrinted>2015-11-03T02:16:58Z</cp:lastPrinted>
  <dcterms:created xsi:type="dcterms:W3CDTF">2015-01-08T07:02:10Z</dcterms:created>
  <dcterms:modified xsi:type="dcterms:W3CDTF">2019-11-05T03:00:55Z</dcterms:modified>
</cp:coreProperties>
</file>