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tional Tuna LL FP Update\Data Produksi Ambon\"/>
    </mc:Choice>
  </mc:AlternateContent>
  <xr:revisionPtr revIDLastSave="0" documentId="13_ncr:1_{8C6FA7EA-F17B-4A27-8938-21303949C49D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ort sampling Amb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2" i="1" l="1"/>
  <c r="G331" i="1"/>
  <c r="F332" i="1"/>
  <c r="F331" i="1"/>
  <c r="D331" i="1"/>
  <c r="D329" i="1"/>
  <c r="D328" i="1"/>
  <c r="E329" i="1"/>
  <c r="E328" i="1"/>
  <c r="D326" i="1"/>
  <c r="D325" i="1"/>
  <c r="E326" i="1"/>
  <c r="E325" i="1"/>
  <c r="D323" i="1"/>
  <c r="D322" i="1"/>
  <c r="E323" i="1"/>
  <c r="E322" i="1"/>
  <c r="D320" i="1"/>
  <c r="D319" i="1"/>
  <c r="E319" i="1"/>
  <c r="E320" i="1"/>
  <c r="D317" i="1"/>
  <c r="D316" i="1"/>
  <c r="E317" i="1"/>
  <c r="E316" i="1"/>
  <c r="D314" i="1"/>
  <c r="D313" i="1"/>
  <c r="E314" i="1"/>
  <c r="E313" i="1"/>
  <c r="D311" i="1"/>
  <c r="D310" i="1"/>
  <c r="E311" i="1"/>
  <c r="E310" i="1"/>
  <c r="D308" i="1"/>
  <c r="D307" i="1"/>
  <c r="E308" i="1"/>
  <c r="E307" i="1"/>
  <c r="D304" i="1"/>
  <c r="E304" i="1"/>
  <c r="E331" i="1" s="1"/>
  <c r="E305" i="1"/>
  <c r="E332" i="1" s="1"/>
  <c r="D305" i="1"/>
  <c r="D332" i="1" s="1"/>
  <c r="G302" i="1"/>
  <c r="G301" i="1"/>
  <c r="F302" i="1"/>
  <c r="F301" i="1"/>
  <c r="E299" i="1"/>
  <c r="E298" i="1"/>
  <c r="D299" i="1"/>
  <c r="D298" i="1"/>
  <c r="E296" i="1"/>
  <c r="E295" i="1"/>
  <c r="D296" i="1"/>
  <c r="D295" i="1"/>
  <c r="E293" i="1"/>
  <c r="D293" i="1"/>
  <c r="E292" i="1"/>
  <c r="D292" i="1"/>
  <c r="E290" i="1"/>
  <c r="D290" i="1"/>
  <c r="E289" i="1"/>
  <c r="D289" i="1"/>
  <c r="E287" i="1"/>
  <c r="E286" i="1"/>
  <c r="D287" i="1"/>
  <c r="D286" i="1"/>
  <c r="E284" i="1"/>
  <c r="E283" i="1"/>
  <c r="D284" i="1"/>
  <c r="D283" i="1"/>
  <c r="E280" i="1"/>
  <c r="E281" i="1"/>
  <c r="D281" i="1"/>
  <c r="D280" i="1"/>
  <c r="E278" i="1"/>
  <c r="E277" i="1"/>
  <c r="D278" i="1"/>
  <c r="D277" i="1"/>
  <c r="E275" i="1"/>
  <c r="E302" i="1" s="1"/>
  <c r="E274" i="1"/>
  <c r="E301" i="1" s="1"/>
  <c r="D275" i="1"/>
  <c r="D302" i="1" s="1"/>
  <c r="D274" i="1"/>
  <c r="D301" i="1" s="1"/>
  <c r="E270" i="1"/>
  <c r="D270" i="1"/>
  <c r="E269" i="1"/>
  <c r="D269" i="1"/>
  <c r="G272" i="1"/>
  <c r="F272" i="1"/>
  <c r="E243" i="1"/>
  <c r="E249" i="1"/>
  <c r="E272" i="1" s="1"/>
  <c r="E252" i="1"/>
  <c r="E255" i="1"/>
  <c r="E258" i="1"/>
  <c r="E261" i="1"/>
  <c r="E264" i="1"/>
  <c r="E267" i="1"/>
  <c r="G271" i="1"/>
  <c r="F271" i="1"/>
  <c r="E242" i="1"/>
  <c r="E248" i="1"/>
  <c r="E271" i="1" s="1"/>
  <c r="E251" i="1"/>
  <c r="E254" i="1"/>
  <c r="E257" i="1"/>
  <c r="E260" i="1"/>
  <c r="E263" i="1"/>
  <c r="E266" i="1"/>
  <c r="D243" i="1"/>
  <c r="D249" i="1"/>
  <c r="D272" i="1" s="1"/>
  <c r="D252" i="1"/>
  <c r="D255" i="1"/>
  <c r="D258" i="1"/>
  <c r="D261" i="1"/>
  <c r="D264" i="1"/>
  <c r="D267" i="1"/>
  <c r="D242" i="1"/>
  <c r="D248" i="1"/>
  <c r="D251" i="1"/>
  <c r="D254" i="1"/>
  <c r="D257" i="1"/>
  <c r="D260" i="1"/>
  <c r="D263" i="1"/>
  <c r="D266" i="1"/>
  <c r="D271" i="1"/>
  <c r="G239" i="1"/>
  <c r="F240" i="1"/>
  <c r="G240" i="1"/>
  <c r="F239" i="1"/>
  <c r="E240" i="1"/>
  <c r="E239" i="1"/>
  <c r="D239" i="1"/>
  <c r="D240" i="1"/>
  <c r="G222" i="1"/>
  <c r="G223" i="1"/>
  <c r="F223" i="1"/>
  <c r="F222" i="1"/>
  <c r="E199" i="1"/>
  <c r="E202" i="1"/>
  <c r="E205" i="1"/>
  <c r="E223" i="1" s="1"/>
  <c r="E208" i="1"/>
  <c r="E211" i="1"/>
  <c r="E214" i="1"/>
  <c r="E217" i="1"/>
  <c r="E220" i="1"/>
  <c r="E198" i="1"/>
  <c r="E201" i="1"/>
  <c r="E222" i="1" s="1"/>
  <c r="E204" i="1"/>
  <c r="E207" i="1"/>
  <c r="E213" i="1"/>
  <c r="E216" i="1"/>
  <c r="E219" i="1"/>
  <c r="D199" i="1"/>
  <c r="D202" i="1"/>
  <c r="D223" i="1" s="1"/>
  <c r="D205" i="1"/>
  <c r="D208" i="1"/>
  <c r="D211" i="1"/>
  <c r="D214" i="1"/>
  <c r="D217" i="1"/>
  <c r="D220" i="1"/>
  <c r="D198" i="1"/>
  <c r="D201" i="1"/>
  <c r="D222" i="1" s="1"/>
  <c r="D204" i="1"/>
  <c r="D207" i="1"/>
  <c r="D210" i="1"/>
  <c r="D213" i="1"/>
  <c r="D216" i="1"/>
  <c r="D219" i="1"/>
  <c r="E187" i="1"/>
  <c r="E186" i="1"/>
  <c r="D187" i="1"/>
  <c r="D186" i="1"/>
  <c r="D177" i="1"/>
  <c r="G196" i="1"/>
  <c r="G195" i="1"/>
  <c r="F196" i="1"/>
  <c r="F180" i="1"/>
  <c r="F195" i="1" s="1"/>
  <c r="E192" i="1"/>
  <c r="E193" i="1"/>
  <c r="E195" i="1"/>
  <c r="D178" i="1"/>
  <c r="D181" i="1"/>
  <c r="D183" i="1"/>
  <c r="D184" i="1"/>
  <c r="D192" i="1"/>
  <c r="D193" i="1"/>
  <c r="E174" i="1"/>
  <c r="D174" i="1"/>
  <c r="E159" i="1"/>
  <c r="D159" i="1"/>
  <c r="G127" i="1"/>
  <c r="F127" i="1"/>
  <c r="G126" i="1"/>
  <c r="F126" i="1"/>
  <c r="E126" i="1"/>
  <c r="D126" i="1"/>
  <c r="E108" i="1"/>
  <c r="D108" i="1"/>
  <c r="G109" i="1"/>
  <c r="G108" i="1"/>
  <c r="F109" i="1"/>
  <c r="F108" i="1"/>
  <c r="G93" i="1"/>
  <c r="G94" i="1"/>
  <c r="F94" i="1"/>
  <c r="F334" i="1" s="1"/>
  <c r="F93" i="1"/>
  <c r="G17" i="1"/>
  <c r="G38" i="1"/>
  <c r="G59" i="1"/>
  <c r="G85" i="1" s="1"/>
  <c r="G83" i="1"/>
  <c r="G16" i="1"/>
  <c r="G37" i="1"/>
  <c r="G84" i="1" s="1"/>
  <c r="G58" i="1"/>
  <c r="G82" i="1"/>
  <c r="F17" i="1"/>
  <c r="F38" i="1"/>
  <c r="F85" i="1" s="1"/>
  <c r="F59" i="1"/>
  <c r="F83" i="1"/>
  <c r="F16" i="1"/>
  <c r="F37" i="1"/>
  <c r="F58" i="1"/>
  <c r="F82" i="1"/>
  <c r="F84" i="1"/>
  <c r="E16" i="1"/>
  <c r="E37" i="1"/>
  <c r="E58" i="1"/>
  <c r="E84" i="1" s="1"/>
  <c r="E82" i="1"/>
  <c r="D16" i="1"/>
  <c r="D37" i="1"/>
  <c r="D84" i="1" s="1"/>
  <c r="D58" i="1"/>
  <c r="D82" i="1"/>
  <c r="E333" i="1" l="1"/>
  <c r="G334" i="1"/>
  <c r="D180" i="1"/>
  <c r="D195" i="1" s="1"/>
  <c r="D333" i="1" s="1"/>
  <c r="F333" i="1"/>
  <c r="G333" i="1"/>
</calcChain>
</file>

<file path=xl/sharedStrings.xml><?xml version="1.0" encoding="utf-8"?>
<sst xmlns="http://schemas.openxmlformats.org/spreadsheetml/2006/main" count="496" uniqueCount="97">
  <si>
    <t>No</t>
  </si>
  <si>
    <t>Tuna Sirip Kuning</t>
  </si>
  <si>
    <t>Tuna Mata Besar</t>
  </si>
  <si>
    <t>18 Kapal</t>
  </si>
  <si>
    <t>Vol (Kg)</t>
  </si>
  <si>
    <t>Ind (ekor)</t>
  </si>
  <si>
    <t>Pendataan</t>
  </si>
  <si>
    <t>Pelabuhan Amerika</t>
  </si>
  <si>
    <t>PT. MPM</t>
  </si>
  <si>
    <t>14 Kapal</t>
  </si>
  <si>
    <t>15 Kapal</t>
  </si>
  <si>
    <t>7 Kapal</t>
  </si>
  <si>
    <t>17 Kapal</t>
  </si>
  <si>
    <t>13 Kapal</t>
  </si>
  <si>
    <t>12 Kapal</t>
  </si>
  <si>
    <t>10 Kapal</t>
  </si>
  <si>
    <t>Total September 2019</t>
  </si>
  <si>
    <t>1 kali pendataan di Pelabuhan Amerika dan 3 kali pendataan di PT.MPM</t>
  </si>
  <si>
    <t>2 kali pendataan di Pelabuhan Amerika dan 2 kali pendataan di PT.MPM</t>
  </si>
  <si>
    <t>Total Oktober 2019</t>
  </si>
  <si>
    <t>54 Kapal</t>
  </si>
  <si>
    <t>Penjumlahan tidak termasuk yang di blok dengan warna merah karena saat itu tidak melakukan pendataan</t>
  </si>
  <si>
    <t>RINGKASAN KEGIATAN PENDATAAN IKAN TUNA LONG LINE</t>
  </si>
  <si>
    <t>8 Kapal</t>
  </si>
  <si>
    <t>5 Kapal</t>
  </si>
  <si>
    <t>11 Kapal</t>
  </si>
  <si>
    <t>Total November 2019</t>
  </si>
  <si>
    <t>9 Kapal</t>
  </si>
  <si>
    <t>4 Kapal</t>
  </si>
  <si>
    <t>Total Desember 2019</t>
  </si>
  <si>
    <t>62 Kapal</t>
  </si>
  <si>
    <t>46 Kapal</t>
  </si>
  <si>
    <t>Pendataan seluruhnya dilakukan di PT. MPM</t>
  </si>
  <si>
    <t>TOTAL TAHUN 2019</t>
  </si>
  <si>
    <t>216 Kapal</t>
  </si>
  <si>
    <t>3 kali pendataan di Pelabuhan Amerika dan  18 kali pendataan di PT.MPM</t>
  </si>
  <si>
    <t>19 Kapal</t>
  </si>
  <si>
    <t>Total Januari 2020</t>
  </si>
  <si>
    <t>33 Kapal</t>
  </si>
  <si>
    <t>1 kali pendataan di Pelabuhan Amerika dan 1 kali pendataan di PT.MPM</t>
  </si>
  <si>
    <t>16 Kapal</t>
  </si>
  <si>
    <t>55 Kapal</t>
  </si>
  <si>
    <t>Total Februari 2020</t>
  </si>
  <si>
    <t>Total Maret 2020</t>
  </si>
  <si>
    <t>51 Kapal</t>
  </si>
  <si>
    <t>Tidak terdata karena Bongkar dilakukan pada tengah malam</t>
  </si>
  <si>
    <t>Total April 2020</t>
  </si>
  <si>
    <t>Pendataan dilakukan di PT. MPM</t>
  </si>
  <si>
    <t>Tidak melakukan pendataan karena Covid-19</t>
  </si>
  <si>
    <t>20 Kapal</t>
  </si>
  <si>
    <t>3 Kapal</t>
  </si>
  <si>
    <t>Total MEI 2020</t>
  </si>
  <si>
    <t>99 Kapal</t>
  </si>
  <si>
    <t>60 Kapal</t>
  </si>
  <si>
    <t>Total JUNI 2020</t>
  </si>
  <si>
    <t>Belum memperoleh data berat ikan per jumlah species dari perusahaan</t>
  </si>
  <si>
    <t>80 Kapal</t>
  </si>
  <si>
    <t>Total JULI 2020</t>
  </si>
  <si>
    <t>Pendataan termasuk sisa ikan tanggal 22 sebanyak 16 ekor</t>
  </si>
  <si>
    <t>Terdata 18 ekor saja, sisanya 16 ekor dilanjutkan pada pendataan tanggal 23</t>
  </si>
  <si>
    <t>Total AGUSTUS 2020</t>
  </si>
  <si>
    <t>21 Kapal</t>
  </si>
  <si>
    <t>Terdata 20 ekor saja, sisanya 18 ekor dilanjutkan pada pendataan tanggal 11</t>
  </si>
  <si>
    <t>Pendataan termasuk sisa ikan tanggal 10 sebanyak 18 ekor</t>
  </si>
  <si>
    <t>Seluruhnya dilakukan di PT. MPM</t>
  </si>
  <si>
    <t>Total SEPTEMBER 2020</t>
  </si>
  <si>
    <t>47 Kapal</t>
  </si>
  <si>
    <t>25 Kapal</t>
  </si>
  <si>
    <t>Tidak terdata 5 ekor ikan dengan berat total 315 kg</t>
  </si>
  <si>
    <t>Pendaratan ikan oleh 2 kapal penampung yakni KM. Jaya Mulia 02 dan KM. Teluk Bakau 8</t>
  </si>
  <si>
    <t>terdapat kelebihan 1 ekor ikan dengan berat 88 kg pada saat pendataan</t>
  </si>
  <si>
    <t>terdapat kelebihan 4 ekor ikan dengan berat total 207 kg pada saat pendataan</t>
  </si>
  <si>
    <t>Jumlah ikan yang didaratkan sudah termasuk data pada tanggal 5 karena data yang diperoleh sudah digabung</t>
  </si>
  <si>
    <t>Total Oktober 2020</t>
  </si>
  <si>
    <t xml:space="preserve"> 149 Kapal</t>
  </si>
  <si>
    <t>6 Kapal</t>
  </si>
  <si>
    <t xml:space="preserve"> 61 Kapal</t>
  </si>
  <si>
    <t>terdapat kelebihan 5 ekor ikan dengan berat 234 kg pada saat pendataan</t>
  </si>
  <si>
    <t>Pendaratan ikan oleh 2 kapal penampung yakni KM. Maya Mandiri 218 dan KM. Jaya Mulia 02</t>
  </si>
  <si>
    <t>Total November 2020</t>
  </si>
  <si>
    <t>Total Desember 2020</t>
  </si>
  <si>
    <t>Tidak terdata 68 ekor ikan dengan berat 3.268 Kg dari total ikan 384 ekor 19.730 Kg yang didaratkan</t>
  </si>
  <si>
    <t>Tidak terdata 142 ekor ikan dengan berat 6.484 Kg dari total ikan 491 ekor 23.276 Kg yang didaratkan</t>
  </si>
  <si>
    <t>Pendaratan ikan oleh 2 kapal penampung yakni KM. Jaya Mulia 01 dan KM. Jaya Mulia 02</t>
  </si>
  <si>
    <t>Tidak terdata 98 ekor ikan dengan berat 5.821 Kg dari total ikan 337 ekor 17.972 Kg yang didaratkan</t>
  </si>
  <si>
    <t xml:space="preserve"> 52 Kapal</t>
  </si>
  <si>
    <t>terdapat kelebihan 13 ekor ikan dengan berat 781 Kg saat melakukan pendataan dari total 270 ekor 11.932 Kg ikan yang didaratkan</t>
  </si>
  <si>
    <t>TOTAL TAHUN 2020</t>
  </si>
  <si>
    <t>776 Kapal</t>
  </si>
  <si>
    <t>Date of sampling</t>
  </si>
  <si>
    <t>Species</t>
  </si>
  <si>
    <t># fish landed</t>
  </si>
  <si>
    <t># fish measured</t>
  </si>
  <si>
    <t># vessels</t>
  </si>
  <si>
    <t>Fishing vessels</t>
  </si>
  <si>
    <t>Place of data collection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</si>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</sst>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0.0"/>
    <numFmt numFmtId="166" formatCode="_(* #,##0.0_);_(* \(#,##0.0\);_(* &quot;-&quot;_);_(@_)"/>
  </numFmts>
  <fonts count="5" x14ac:knownFonts="1">
    <font>
      <sz val="11"/>
      <color theme="1"/>
      <name val="Calibri"/>
      <family val="2"/>
      <charset val="1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4" borderId="1" xfId="0" applyFill="1" applyBorder="1"/>
    <xf numFmtId="165" fontId="0" fillId="4" borderId="1" xfId="0" applyNumberFormat="1" applyFill="1" applyBorder="1"/>
    <xf numFmtId="0" fontId="0" fillId="5" borderId="1" xfId="0" applyFill="1" applyBorder="1"/>
    <xf numFmtId="165" fontId="2" fillId="3" borderId="1" xfId="0" applyNumberFormat="1" applyFont="1" applyFill="1" applyBorder="1"/>
    <xf numFmtId="0" fontId="2" fillId="3" borderId="1" xfId="0" applyFont="1" applyFill="1" applyBorder="1"/>
    <xf numFmtId="0" fontId="2" fillId="0" borderId="0" xfId="0" applyFont="1"/>
    <xf numFmtId="0" fontId="2" fillId="0" borderId="4" xfId="0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165" fontId="2" fillId="0" borderId="1" xfId="0" applyNumberFormat="1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wrapText="1"/>
    </xf>
    <xf numFmtId="0" fontId="2" fillId="0" borderId="0" xfId="0" applyFont="1" applyFill="1"/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165" fontId="0" fillId="0" borderId="1" xfId="0" applyNumberFormat="1" applyFill="1" applyBorder="1"/>
    <xf numFmtId="0" fontId="0" fillId="0" borderId="4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6" borderId="1" xfId="0" applyFont="1" applyFill="1" applyBorder="1"/>
    <xf numFmtId="165" fontId="2" fillId="6" borderId="1" xfId="0" applyNumberFormat="1" applyFont="1" applyFill="1" applyBorder="1"/>
    <xf numFmtId="164" fontId="0" fillId="4" borderId="1" xfId="1" applyFont="1" applyFill="1" applyBorder="1"/>
    <xf numFmtId="164" fontId="0" fillId="0" borderId="1" xfId="1" applyFont="1" applyBorder="1"/>
    <xf numFmtId="164" fontId="0" fillId="4" borderId="1" xfId="1" applyNumberFormat="1" applyFont="1" applyFill="1" applyBorder="1"/>
    <xf numFmtId="164" fontId="0" fillId="0" borderId="1" xfId="1" applyNumberFormat="1" applyFont="1" applyBorder="1"/>
    <xf numFmtId="164" fontId="0" fillId="0" borderId="0" xfId="1" applyFont="1"/>
    <xf numFmtId="164" fontId="2" fillId="3" borderId="1" xfId="1" applyFont="1" applyFill="1" applyBorder="1"/>
    <xf numFmtId="0" fontId="0" fillId="4" borderId="0" xfId="0" applyFill="1"/>
    <xf numFmtId="0" fontId="0" fillId="4" borderId="1" xfId="0" applyFill="1" applyBorder="1" applyAlignment="1">
      <alignment horizontal="center" wrapText="1"/>
    </xf>
    <xf numFmtId="164" fontId="4" fillId="0" borderId="1" xfId="1" applyFont="1" applyBorder="1"/>
    <xf numFmtId="166" fontId="0" fillId="4" borderId="1" xfId="1" applyNumberFormat="1" applyFont="1" applyFill="1" applyBorder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14" fontId="0" fillId="4" borderId="3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2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165" fontId="0" fillId="5" borderId="2" xfId="0" applyNumberFormat="1" applyFill="1" applyBorder="1" applyAlignment="1">
      <alignment horizontal="right" vertical="center"/>
    </xf>
    <xf numFmtId="165" fontId="0" fillId="5" borderId="3" xfId="0" applyNumberFormat="1" applyFill="1" applyBorder="1" applyAlignment="1">
      <alignment horizontal="right" vertical="center"/>
    </xf>
    <xf numFmtId="0" fontId="0" fillId="5" borderId="2" xfId="0" applyFill="1" applyBorder="1" applyAlignment="1">
      <alignment horizontal="right" vertical="center"/>
    </xf>
    <xf numFmtId="0" fontId="0" fillId="5" borderId="3" xfId="0" applyFill="1" applyBorder="1" applyAlignment="1">
      <alignment horizontal="right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4" fontId="0" fillId="5" borderId="2" xfId="0" applyNumberFormat="1" applyFill="1" applyBorder="1" applyAlignment="1">
      <alignment horizontal="center" vertical="center"/>
    </xf>
    <xf numFmtId="14" fontId="0" fillId="5" borderId="3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6" borderId="2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14" fontId="2" fillId="6" borderId="2" xfId="0" applyNumberFormat="1" applyFont="1" applyFill="1" applyBorder="1" applyAlignment="1">
      <alignment horizontal="center" vertical="center" wrapText="1"/>
    </xf>
    <xf numFmtId="14" fontId="2" fillId="6" borderId="3" xfId="0" applyNumberFormat="1" applyFont="1" applyFill="1" applyBorder="1" applyAlignment="1">
      <alignment horizontal="center" vertical="center" wrapText="1"/>
    </xf>
    <xf numFmtId="164" fontId="2" fillId="3" borderId="2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  <xf numFmtId="164" fontId="2" fillId="3" borderId="2" xfId="1" applyFont="1" applyFill="1" applyBorder="1" applyAlignment="1">
      <alignment horizontal="center" vertical="center"/>
    </xf>
    <xf numFmtId="164" fontId="2" fillId="3" borderId="3" xfId="1" applyFont="1" applyFill="1" applyBorder="1" applyAlignment="1">
      <alignment horizontal="center" vertical="center"/>
    </xf>
    <xf numFmtId="164" fontId="0" fillId="4" borderId="2" xfId="1" applyFont="1" applyFill="1" applyBorder="1" applyAlignment="1">
      <alignment horizontal="right" vertical="center"/>
    </xf>
    <xf numFmtId="164" fontId="0" fillId="4" borderId="3" xfId="1" applyFont="1" applyFill="1" applyBorder="1" applyAlignment="1">
      <alignment horizontal="right" vertical="center"/>
    </xf>
    <xf numFmtId="164" fontId="0" fillId="4" borderId="2" xfId="1" applyNumberFormat="1" applyFont="1" applyFill="1" applyBorder="1" applyAlignment="1">
      <alignment horizontal="right" vertical="center"/>
    </xf>
    <xf numFmtId="164" fontId="0" fillId="4" borderId="3" xfId="1" applyNumberFormat="1" applyFont="1" applyFill="1" applyBorder="1" applyAlignment="1">
      <alignment horizontal="right" vertical="center"/>
    </xf>
    <xf numFmtId="164" fontId="2" fillId="6" borderId="2" xfId="0" applyNumberFormat="1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colors>
    <mruColors>
      <color rgb="FFFFFF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4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3" sqref="J3:J4"/>
    </sheetView>
  </sheetViews>
  <sheetFormatPr defaultRowHeight="14.5" x14ac:dyDescent="0.35"/>
  <cols>
    <col min="1" max="1" width="7" customWidth="1"/>
    <col min="2" max="2" width="16.453125" bestFit="1" customWidth="1"/>
    <col min="3" max="3" width="17.7265625" customWidth="1"/>
    <col min="4" max="4" width="19" customWidth="1"/>
    <col min="5" max="5" width="13.26953125" customWidth="1"/>
    <col min="6" max="6" width="14.81640625" customWidth="1"/>
    <col min="7" max="7" width="15.1796875" customWidth="1"/>
    <col min="8" max="8" width="22.81640625" bestFit="1" customWidth="1"/>
    <col min="9" max="9" width="35.1796875" customWidth="1"/>
    <col min="10" max="10" width="56.453125" customWidth="1"/>
  </cols>
  <sheetData>
    <row r="1" spans="1:10" x14ac:dyDescent="0.35">
      <c r="A1" s="79" t="s">
        <v>22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x14ac:dyDescent="0.35">
      <c r="A2" s="1"/>
      <c r="B2" s="1"/>
      <c r="C2" s="1"/>
      <c r="D2" s="1"/>
      <c r="E2" s="1"/>
      <c r="F2" s="1"/>
      <c r="G2" s="1"/>
      <c r="H2" s="1"/>
    </row>
    <row r="3" spans="1:10" x14ac:dyDescent="0.35">
      <c r="A3" s="68" t="s">
        <v>0</v>
      </c>
      <c r="B3" s="68" t="s">
        <v>89</v>
      </c>
      <c r="C3" s="68" t="s">
        <v>90</v>
      </c>
      <c r="D3" s="68" t="s">
        <v>91</v>
      </c>
      <c r="E3" s="68"/>
      <c r="F3" s="68" t="s">
        <v>92</v>
      </c>
      <c r="G3" s="68"/>
      <c r="H3" s="4" t="s">
        <v>93</v>
      </c>
      <c r="I3" s="4" t="s">
        <v>95</v>
      </c>
      <c r="J3" s="68" t="s">
        <v>96</v>
      </c>
    </row>
    <row r="4" spans="1:10" x14ac:dyDescent="0.35">
      <c r="A4" s="68"/>
      <c r="B4" s="68"/>
      <c r="C4" s="68"/>
      <c r="D4" s="5" t="s">
        <v>4</v>
      </c>
      <c r="E4" s="5" t="s">
        <v>5</v>
      </c>
      <c r="F4" s="5" t="s">
        <v>4</v>
      </c>
      <c r="G4" s="5" t="s">
        <v>5</v>
      </c>
      <c r="H4" s="6" t="s">
        <v>94</v>
      </c>
      <c r="I4" s="6" t="s">
        <v>6</v>
      </c>
      <c r="J4" s="68"/>
    </row>
    <row r="5" spans="1:10" x14ac:dyDescent="0.35">
      <c r="A5" s="42">
        <v>1</v>
      </c>
      <c r="B5" s="44">
        <v>43714</v>
      </c>
      <c r="C5" s="7" t="s">
        <v>1</v>
      </c>
      <c r="D5" s="42">
        <v>19632</v>
      </c>
      <c r="E5" s="42">
        <v>504</v>
      </c>
      <c r="F5" s="7">
        <v>3373.4</v>
      </c>
      <c r="G5" s="7">
        <v>76</v>
      </c>
      <c r="H5" s="42" t="s">
        <v>3</v>
      </c>
      <c r="I5" s="46" t="s">
        <v>7</v>
      </c>
      <c r="J5" s="64"/>
    </row>
    <row r="6" spans="1:10" x14ac:dyDescent="0.35">
      <c r="A6" s="43"/>
      <c r="B6" s="45"/>
      <c r="C6" s="7" t="s">
        <v>2</v>
      </c>
      <c r="D6" s="43"/>
      <c r="E6" s="43"/>
      <c r="F6" s="7">
        <v>5317.6</v>
      </c>
      <c r="G6" s="7">
        <v>124</v>
      </c>
      <c r="H6" s="43"/>
      <c r="I6" s="47"/>
      <c r="J6" s="65"/>
    </row>
    <row r="7" spans="1:10" s="21" customFormat="1" ht="3.75" customHeight="1" x14ac:dyDescent="0.35">
      <c r="A7" s="20"/>
      <c r="B7" s="20"/>
      <c r="C7" s="20"/>
      <c r="D7" s="29"/>
      <c r="E7" s="29"/>
      <c r="F7" s="20"/>
      <c r="G7" s="20"/>
      <c r="H7" s="20"/>
      <c r="I7" s="20"/>
      <c r="J7" s="20"/>
    </row>
    <row r="8" spans="1:10" x14ac:dyDescent="0.35">
      <c r="A8" s="42">
        <v>2</v>
      </c>
      <c r="B8" s="44">
        <v>43720</v>
      </c>
      <c r="C8" s="7" t="s">
        <v>1</v>
      </c>
      <c r="D8" s="42">
        <v>3379</v>
      </c>
      <c r="E8" s="42">
        <v>96</v>
      </c>
      <c r="F8" s="8">
        <v>1697</v>
      </c>
      <c r="G8" s="7">
        <v>49</v>
      </c>
      <c r="H8" s="42" t="s">
        <v>9</v>
      </c>
      <c r="I8" s="46" t="s">
        <v>8</v>
      </c>
      <c r="J8" s="64"/>
    </row>
    <row r="9" spans="1:10" x14ac:dyDescent="0.35">
      <c r="A9" s="43"/>
      <c r="B9" s="45"/>
      <c r="C9" s="7" t="s">
        <v>2</v>
      </c>
      <c r="D9" s="43"/>
      <c r="E9" s="43"/>
      <c r="F9" s="8">
        <v>1464</v>
      </c>
      <c r="G9" s="7">
        <v>47</v>
      </c>
      <c r="H9" s="43"/>
      <c r="I9" s="47"/>
      <c r="J9" s="65"/>
    </row>
    <row r="10" spans="1:10" s="21" customFormat="1" ht="4.5" customHeight="1" x14ac:dyDescent="0.35">
      <c r="A10" s="20"/>
      <c r="B10" s="22"/>
      <c r="C10" s="20"/>
      <c r="D10" s="29"/>
      <c r="E10" s="29"/>
      <c r="F10" s="20"/>
      <c r="G10" s="20"/>
      <c r="H10" s="20"/>
      <c r="I10" s="20"/>
      <c r="J10" s="20"/>
    </row>
    <row r="11" spans="1:10" ht="15" customHeight="1" x14ac:dyDescent="0.35">
      <c r="A11" s="42">
        <v>3</v>
      </c>
      <c r="B11" s="44">
        <v>43724</v>
      </c>
      <c r="C11" s="7" t="s">
        <v>1</v>
      </c>
      <c r="D11" s="42">
        <v>2515</v>
      </c>
      <c r="E11" s="42">
        <v>71</v>
      </c>
      <c r="F11" s="8">
        <v>702</v>
      </c>
      <c r="G11" s="7">
        <v>20</v>
      </c>
      <c r="H11" s="42" t="s">
        <v>10</v>
      </c>
      <c r="I11" s="46" t="s">
        <v>8</v>
      </c>
      <c r="J11" s="64"/>
    </row>
    <row r="12" spans="1:10" x14ac:dyDescent="0.35">
      <c r="A12" s="43"/>
      <c r="B12" s="45"/>
      <c r="C12" s="7" t="s">
        <v>2</v>
      </c>
      <c r="D12" s="43"/>
      <c r="E12" s="43"/>
      <c r="F12" s="8">
        <v>1555</v>
      </c>
      <c r="G12" s="7">
        <v>44</v>
      </c>
      <c r="H12" s="43"/>
      <c r="I12" s="47"/>
      <c r="J12" s="65"/>
    </row>
    <row r="13" spans="1:10" s="21" customFormat="1" ht="5.25" customHeight="1" x14ac:dyDescent="0.35">
      <c r="A13" s="20"/>
      <c r="B13" s="22"/>
      <c r="C13" s="20"/>
      <c r="D13" s="29"/>
      <c r="E13" s="29"/>
      <c r="F13" s="20"/>
      <c r="G13" s="20"/>
      <c r="H13" s="20"/>
      <c r="I13" s="20"/>
      <c r="J13" s="20"/>
    </row>
    <row r="14" spans="1:10" ht="15" customHeight="1" x14ac:dyDescent="0.35">
      <c r="A14" s="42">
        <v>4</v>
      </c>
      <c r="B14" s="44">
        <v>43733</v>
      </c>
      <c r="C14" s="7" t="s">
        <v>1</v>
      </c>
      <c r="D14" s="42">
        <v>364</v>
      </c>
      <c r="E14" s="42">
        <v>10</v>
      </c>
      <c r="F14" s="8">
        <v>111</v>
      </c>
      <c r="G14" s="7">
        <v>3</v>
      </c>
      <c r="H14" s="42" t="s">
        <v>11</v>
      </c>
      <c r="I14" s="46" t="s">
        <v>8</v>
      </c>
      <c r="J14" s="64"/>
    </row>
    <row r="15" spans="1:10" x14ac:dyDescent="0.35">
      <c r="A15" s="43"/>
      <c r="B15" s="45"/>
      <c r="C15" s="7" t="s">
        <v>2</v>
      </c>
      <c r="D15" s="43"/>
      <c r="E15" s="43"/>
      <c r="F15" s="8">
        <v>253</v>
      </c>
      <c r="G15" s="7">
        <v>7</v>
      </c>
      <c r="H15" s="43"/>
      <c r="I15" s="47"/>
      <c r="J15" s="65"/>
    </row>
    <row r="16" spans="1:10" s="12" customFormat="1" x14ac:dyDescent="0.35">
      <c r="A16" s="50"/>
      <c r="B16" s="52" t="s">
        <v>16</v>
      </c>
      <c r="C16" s="11" t="s">
        <v>1</v>
      </c>
      <c r="D16" s="50">
        <f>SUM(D5,D8,D11,D14)</f>
        <v>25890</v>
      </c>
      <c r="E16" s="50">
        <f>SUM(E5,E8,E11,E14)</f>
        <v>681</v>
      </c>
      <c r="F16" s="10">
        <f>SUM(F5+F8+F11+F14)</f>
        <v>5883.4</v>
      </c>
      <c r="G16" s="10">
        <f>SUM(G5+G8+G11+G14)</f>
        <v>148</v>
      </c>
      <c r="H16" s="50" t="s">
        <v>20</v>
      </c>
      <c r="I16" s="56" t="s">
        <v>17</v>
      </c>
      <c r="J16" s="56"/>
    </row>
    <row r="17" spans="1:10" s="12" customFormat="1" ht="15.75" customHeight="1" x14ac:dyDescent="0.35">
      <c r="A17" s="51"/>
      <c r="B17" s="53"/>
      <c r="C17" s="11" t="s">
        <v>2</v>
      </c>
      <c r="D17" s="51"/>
      <c r="E17" s="51"/>
      <c r="F17" s="10">
        <f>SUM(F6+F9+F12+F15)</f>
        <v>8589.6</v>
      </c>
      <c r="G17" s="10">
        <f>SUM(G6+G9+G12+G15)</f>
        <v>222</v>
      </c>
      <c r="H17" s="51"/>
      <c r="I17" s="57"/>
      <c r="J17" s="57"/>
    </row>
    <row r="18" spans="1:10" s="19" customFormat="1" ht="6.75" customHeight="1" x14ac:dyDescent="0.35">
      <c r="A18" s="13"/>
      <c r="B18" s="14"/>
      <c r="C18" s="15"/>
      <c r="D18" s="15"/>
      <c r="E18" s="15"/>
      <c r="F18" s="16"/>
      <c r="G18" s="16"/>
      <c r="H18" s="13"/>
      <c r="I18" s="17"/>
      <c r="J18" s="18"/>
    </row>
    <row r="19" spans="1:10" x14ac:dyDescent="0.35">
      <c r="A19" s="42">
        <v>5</v>
      </c>
      <c r="B19" s="44">
        <v>43740</v>
      </c>
      <c r="C19" s="7" t="s">
        <v>1</v>
      </c>
      <c r="D19" s="42">
        <v>7379</v>
      </c>
      <c r="E19" s="42">
        <v>172</v>
      </c>
      <c r="F19" s="7">
        <v>1118.0999999999999</v>
      </c>
      <c r="G19" s="7">
        <v>35</v>
      </c>
      <c r="H19" s="42" t="s">
        <v>12</v>
      </c>
      <c r="I19" s="46" t="s">
        <v>7</v>
      </c>
      <c r="J19" s="64"/>
    </row>
    <row r="20" spans="1:10" x14ac:dyDescent="0.35">
      <c r="A20" s="43"/>
      <c r="B20" s="45"/>
      <c r="C20" s="7" t="s">
        <v>2</v>
      </c>
      <c r="D20" s="43"/>
      <c r="E20" s="43"/>
      <c r="F20" s="7">
        <v>3934.9</v>
      </c>
      <c r="G20" s="7">
        <v>73</v>
      </c>
      <c r="H20" s="43"/>
      <c r="I20" s="47"/>
      <c r="J20" s="65"/>
    </row>
    <row r="21" spans="1:10" ht="6.75" customHeight="1" x14ac:dyDescent="0.35">
      <c r="A21" s="2"/>
      <c r="B21" s="2"/>
      <c r="C21" s="2"/>
      <c r="D21" s="28"/>
      <c r="E21" s="28"/>
      <c r="F21" s="2"/>
      <c r="G21" s="2"/>
      <c r="H21" s="2"/>
      <c r="I21" s="2"/>
      <c r="J21" s="2"/>
    </row>
    <row r="22" spans="1:10" x14ac:dyDescent="0.35">
      <c r="A22" s="42">
        <v>6</v>
      </c>
      <c r="B22" s="44">
        <v>43745</v>
      </c>
      <c r="C22" s="7" t="s">
        <v>1</v>
      </c>
      <c r="D22" s="42">
        <v>9016</v>
      </c>
      <c r="E22" s="42">
        <v>167</v>
      </c>
      <c r="F22" s="8">
        <v>2824.7</v>
      </c>
      <c r="G22" s="7">
        <v>58</v>
      </c>
      <c r="H22" s="42" t="s">
        <v>10</v>
      </c>
      <c r="I22" s="46" t="s">
        <v>7</v>
      </c>
      <c r="J22" s="64"/>
    </row>
    <row r="23" spans="1:10" x14ac:dyDescent="0.35">
      <c r="A23" s="43"/>
      <c r="B23" s="45"/>
      <c r="C23" s="7" t="s">
        <v>2</v>
      </c>
      <c r="D23" s="43"/>
      <c r="E23" s="43"/>
      <c r="F23" s="8">
        <v>3810.9</v>
      </c>
      <c r="G23" s="7">
        <v>67</v>
      </c>
      <c r="H23" s="43"/>
      <c r="I23" s="47"/>
      <c r="J23" s="65"/>
    </row>
    <row r="24" spans="1:10" ht="6.75" customHeight="1" x14ac:dyDescent="0.35">
      <c r="A24" s="2"/>
      <c r="B24" s="3"/>
      <c r="C24" s="2"/>
      <c r="D24" s="28"/>
      <c r="E24" s="28"/>
      <c r="F24" s="2"/>
      <c r="G24" s="2"/>
      <c r="H24" s="2"/>
      <c r="I24" s="2"/>
      <c r="J24" s="2"/>
    </row>
    <row r="25" spans="1:10" x14ac:dyDescent="0.35">
      <c r="A25" s="73">
        <v>7</v>
      </c>
      <c r="B25" s="75">
        <v>43752</v>
      </c>
      <c r="C25" s="9" t="s">
        <v>1</v>
      </c>
      <c r="D25" s="69">
        <v>3756</v>
      </c>
      <c r="E25" s="71">
        <v>77</v>
      </c>
      <c r="F25" s="69"/>
      <c r="G25" s="71"/>
      <c r="H25" s="73" t="s">
        <v>10</v>
      </c>
      <c r="I25" s="77"/>
      <c r="J25" s="66" t="s">
        <v>45</v>
      </c>
    </row>
    <row r="26" spans="1:10" x14ac:dyDescent="0.35">
      <c r="A26" s="74"/>
      <c r="B26" s="76"/>
      <c r="C26" s="9" t="s">
        <v>2</v>
      </c>
      <c r="D26" s="70"/>
      <c r="E26" s="72"/>
      <c r="F26" s="70"/>
      <c r="G26" s="72"/>
      <c r="H26" s="74"/>
      <c r="I26" s="78"/>
      <c r="J26" s="67"/>
    </row>
    <row r="27" spans="1:10" ht="6" customHeight="1" x14ac:dyDescent="0.35">
      <c r="A27" s="2"/>
      <c r="B27" s="3"/>
      <c r="C27" s="2"/>
      <c r="D27" s="28"/>
      <c r="E27" s="28"/>
      <c r="F27" s="2"/>
      <c r="G27" s="2"/>
      <c r="H27" s="2"/>
      <c r="I27" s="2"/>
      <c r="J27" s="2"/>
    </row>
    <row r="28" spans="1:10" x14ac:dyDescent="0.35">
      <c r="A28" s="42">
        <v>8</v>
      </c>
      <c r="B28" s="44">
        <v>43757</v>
      </c>
      <c r="C28" s="7" t="s">
        <v>1</v>
      </c>
      <c r="D28" s="42">
        <v>4176</v>
      </c>
      <c r="E28" s="42">
        <v>76</v>
      </c>
      <c r="F28" s="8">
        <v>1134</v>
      </c>
      <c r="G28" s="7">
        <v>29</v>
      </c>
      <c r="H28" s="42" t="s">
        <v>14</v>
      </c>
      <c r="I28" s="46" t="s">
        <v>8</v>
      </c>
      <c r="J28" s="64"/>
    </row>
    <row r="29" spans="1:10" x14ac:dyDescent="0.35">
      <c r="A29" s="43"/>
      <c r="B29" s="45"/>
      <c r="C29" s="7" t="s">
        <v>2</v>
      </c>
      <c r="D29" s="43"/>
      <c r="E29" s="43"/>
      <c r="F29" s="8">
        <v>2826</v>
      </c>
      <c r="G29" s="7">
        <v>46</v>
      </c>
      <c r="H29" s="43"/>
      <c r="I29" s="47"/>
      <c r="J29" s="65"/>
    </row>
    <row r="30" spans="1:10" ht="8.25" customHeight="1" x14ac:dyDescent="0.35">
      <c r="A30" s="2"/>
      <c r="B30" s="2"/>
      <c r="C30" s="2"/>
      <c r="D30" s="28"/>
      <c r="E30" s="28"/>
      <c r="F30" s="2"/>
      <c r="G30" s="2"/>
      <c r="H30" s="2"/>
      <c r="I30" s="2"/>
      <c r="J30" s="2"/>
    </row>
    <row r="31" spans="1:10" x14ac:dyDescent="0.35">
      <c r="A31" s="73">
        <v>9</v>
      </c>
      <c r="B31" s="75">
        <v>43765</v>
      </c>
      <c r="C31" s="9" t="s">
        <v>1</v>
      </c>
      <c r="D31" s="69">
        <v>2677</v>
      </c>
      <c r="E31" s="71">
        <v>55</v>
      </c>
      <c r="F31" s="69"/>
      <c r="G31" s="71"/>
      <c r="H31" s="73" t="s">
        <v>13</v>
      </c>
      <c r="I31" s="77"/>
      <c r="J31" s="66" t="s">
        <v>45</v>
      </c>
    </row>
    <row r="32" spans="1:10" x14ac:dyDescent="0.35">
      <c r="A32" s="74"/>
      <c r="B32" s="76"/>
      <c r="C32" s="9" t="s">
        <v>2</v>
      </c>
      <c r="D32" s="70"/>
      <c r="E32" s="72"/>
      <c r="F32" s="70"/>
      <c r="G32" s="72"/>
      <c r="H32" s="74"/>
      <c r="I32" s="78"/>
      <c r="J32" s="67"/>
    </row>
    <row r="33" spans="1:10" ht="6" customHeight="1" x14ac:dyDescent="0.35">
      <c r="A33" s="2"/>
      <c r="B33" s="3"/>
      <c r="C33" s="2"/>
      <c r="D33" s="28"/>
      <c r="E33" s="28"/>
      <c r="F33" s="2"/>
      <c r="G33" s="2"/>
      <c r="H33" s="2"/>
      <c r="I33" s="2"/>
      <c r="J33" s="2"/>
    </row>
    <row r="34" spans="1:10" x14ac:dyDescent="0.35">
      <c r="A34" s="42">
        <v>10</v>
      </c>
      <c r="B34" s="44">
        <v>43769</v>
      </c>
      <c r="C34" s="7" t="s">
        <v>1</v>
      </c>
      <c r="D34" s="42">
        <v>1643</v>
      </c>
      <c r="E34" s="42">
        <v>30</v>
      </c>
      <c r="F34" s="8">
        <v>744</v>
      </c>
      <c r="G34" s="7">
        <v>16</v>
      </c>
      <c r="H34" s="42" t="s">
        <v>15</v>
      </c>
      <c r="I34" s="46" t="s">
        <v>8</v>
      </c>
      <c r="J34" s="64"/>
    </row>
    <row r="35" spans="1:10" x14ac:dyDescent="0.35">
      <c r="A35" s="43"/>
      <c r="B35" s="45"/>
      <c r="C35" s="7" t="s">
        <v>2</v>
      </c>
      <c r="D35" s="43"/>
      <c r="E35" s="43"/>
      <c r="F35" s="8">
        <v>899</v>
      </c>
      <c r="G35" s="7">
        <v>14</v>
      </c>
      <c r="H35" s="43"/>
      <c r="I35" s="47"/>
      <c r="J35" s="65"/>
    </row>
    <row r="36" spans="1:10" s="21" customFormat="1" ht="6" customHeight="1" x14ac:dyDescent="0.35">
      <c r="A36" s="23"/>
      <c r="B36" s="24"/>
      <c r="C36" s="20"/>
      <c r="D36" s="23"/>
      <c r="E36" s="23"/>
      <c r="F36" s="26"/>
      <c r="G36" s="20"/>
      <c r="H36" s="23"/>
      <c r="I36" s="27"/>
      <c r="J36" s="25"/>
    </row>
    <row r="37" spans="1:10" s="12" customFormat="1" x14ac:dyDescent="0.35">
      <c r="A37" s="50"/>
      <c r="B37" s="52" t="s">
        <v>19</v>
      </c>
      <c r="C37" s="11" t="s">
        <v>1</v>
      </c>
      <c r="D37" s="50">
        <f>SUM(D19,D22,D28,D34)</f>
        <v>22214</v>
      </c>
      <c r="E37" s="50">
        <f>SUM(E19,E22,E28,E34)</f>
        <v>445</v>
      </c>
      <c r="F37" s="10">
        <f>SUM(F19+F22+F28+F34)</f>
        <v>5820.7999999999993</v>
      </c>
      <c r="G37" s="10">
        <f>SUM(G19+G22+G28+G34)</f>
        <v>138</v>
      </c>
      <c r="H37" s="50" t="s">
        <v>20</v>
      </c>
      <c r="I37" s="56" t="s">
        <v>18</v>
      </c>
      <c r="J37" s="56" t="s">
        <v>21</v>
      </c>
    </row>
    <row r="38" spans="1:10" s="12" customFormat="1" ht="15.75" customHeight="1" x14ac:dyDescent="0.35">
      <c r="A38" s="51"/>
      <c r="B38" s="53"/>
      <c r="C38" s="11" t="s">
        <v>2</v>
      </c>
      <c r="D38" s="51"/>
      <c r="E38" s="51"/>
      <c r="F38" s="10">
        <f>SUM(F20+F23+F29+F35)</f>
        <v>11470.8</v>
      </c>
      <c r="G38" s="10">
        <f>SUM(G20+G23+G29+G35)</f>
        <v>200</v>
      </c>
      <c r="H38" s="51"/>
      <c r="I38" s="57"/>
      <c r="J38" s="57"/>
    </row>
    <row r="39" spans="1:10" ht="7.5" customHeight="1" x14ac:dyDescent="0.35"/>
    <row r="40" spans="1:10" x14ac:dyDescent="0.35">
      <c r="A40" s="42">
        <v>11</v>
      </c>
      <c r="B40" s="44">
        <v>43773</v>
      </c>
      <c r="C40" s="7" t="s">
        <v>1</v>
      </c>
      <c r="D40" s="42">
        <v>3600</v>
      </c>
      <c r="E40" s="42">
        <v>79</v>
      </c>
      <c r="F40" s="7">
        <v>1475</v>
      </c>
      <c r="G40" s="7">
        <v>34</v>
      </c>
      <c r="H40" s="42" t="s">
        <v>11</v>
      </c>
      <c r="I40" s="46" t="s">
        <v>8</v>
      </c>
      <c r="J40" s="64"/>
    </row>
    <row r="41" spans="1:10" x14ac:dyDescent="0.35">
      <c r="A41" s="43"/>
      <c r="B41" s="45"/>
      <c r="C41" s="7" t="s">
        <v>2</v>
      </c>
      <c r="D41" s="43"/>
      <c r="E41" s="43"/>
      <c r="F41" s="7">
        <v>2295</v>
      </c>
      <c r="G41" s="7">
        <v>38</v>
      </c>
      <c r="H41" s="43"/>
      <c r="I41" s="47"/>
      <c r="J41" s="65"/>
    </row>
    <row r="42" spans="1:10" ht="6" customHeight="1" x14ac:dyDescent="0.35">
      <c r="A42" s="2"/>
      <c r="B42" s="3"/>
      <c r="C42" s="2"/>
      <c r="D42" s="2"/>
      <c r="E42" s="2"/>
      <c r="F42" s="2"/>
      <c r="G42" s="2"/>
      <c r="H42" s="2"/>
      <c r="I42" s="2"/>
      <c r="J42" s="2"/>
    </row>
    <row r="43" spans="1:10" x14ac:dyDescent="0.35">
      <c r="A43" s="42">
        <v>12</v>
      </c>
      <c r="B43" s="44">
        <v>43776</v>
      </c>
      <c r="C43" s="7" t="s">
        <v>1</v>
      </c>
      <c r="D43" s="42">
        <v>2055</v>
      </c>
      <c r="E43" s="42">
        <v>52</v>
      </c>
      <c r="F43" s="8">
        <v>1136</v>
      </c>
      <c r="G43" s="7">
        <v>34</v>
      </c>
      <c r="H43" s="42" t="s">
        <v>11</v>
      </c>
      <c r="I43" s="46" t="s">
        <v>8</v>
      </c>
      <c r="J43" s="64"/>
    </row>
    <row r="44" spans="1:10" x14ac:dyDescent="0.35">
      <c r="A44" s="43"/>
      <c r="B44" s="45"/>
      <c r="C44" s="7" t="s">
        <v>2</v>
      </c>
      <c r="D44" s="43"/>
      <c r="E44" s="43"/>
      <c r="F44" s="8">
        <v>919</v>
      </c>
      <c r="G44" s="7">
        <v>18</v>
      </c>
      <c r="H44" s="43"/>
      <c r="I44" s="47"/>
      <c r="J44" s="65"/>
    </row>
    <row r="45" spans="1:10" ht="7.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35">
      <c r="A46" s="42">
        <v>13</v>
      </c>
      <c r="B46" s="44">
        <v>43782</v>
      </c>
      <c r="C46" s="7" t="s">
        <v>1</v>
      </c>
      <c r="D46" s="42">
        <v>1845</v>
      </c>
      <c r="E46" s="42">
        <v>48</v>
      </c>
      <c r="F46" s="8">
        <v>1181</v>
      </c>
      <c r="G46" s="7">
        <v>39</v>
      </c>
      <c r="H46" s="42" t="s">
        <v>23</v>
      </c>
      <c r="I46" s="46" t="s">
        <v>8</v>
      </c>
      <c r="J46" s="64"/>
    </row>
    <row r="47" spans="1:10" x14ac:dyDescent="0.35">
      <c r="A47" s="43"/>
      <c r="B47" s="45"/>
      <c r="C47" s="7" t="s">
        <v>2</v>
      </c>
      <c r="D47" s="43"/>
      <c r="E47" s="43"/>
      <c r="F47" s="8">
        <v>520</v>
      </c>
      <c r="G47" s="7">
        <v>9</v>
      </c>
      <c r="H47" s="43"/>
      <c r="I47" s="47"/>
      <c r="J47" s="65"/>
    </row>
    <row r="48" spans="1:10" ht="6.75" customHeight="1" x14ac:dyDescent="0.35">
      <c r="A48" s="2"/>
      <c r="B48" s="2"/>
      <c r="C48" s="2"/>
      <c r="D48" s="28"/>
      <c r="E48" s="28"/>
      <c r="F48" s="2"/>
      <c r="G48" s="2"/>
      <c r="H48" s="2"/>
      <c r="I48" s="2"/>
      <c r="J48" s="2"/>
    </row>
    <row r="49" spans="1:10" x14ac:dyDescent="0.35">
      <c r="A49" s="42">
        <v>14</v>
      </c>
      <c r="B49" s="44">
        <v>43788</v>
      </c>
      <c r="C49" s="7" t="s">
        <v>1</v>
      </c>
      <c r="D49" s="42">
        <v>3588</v>
      </c>
      <c r="E49" s="42">
        <v>77</v>
      </c>
      <c r="F49" s="8">
        <v>1183</v>
      </c>
      <c r="G49" s="7">
        <v>34</v>
      </c>
      <c r="H49" s="42" t="s">
        <v>23</v>
      </c>
      <c r="I49" s="46" t="s">
        <v>8</v>
      </c>
      <c r="J49" s="64"/>
    </row>
    <row r="50" spans="1:10" x14ac:dyDescent="0.35">
      <c r="A50" s="43"/>
      <c r="B50" s="45"/>
      <c r="C50" s="7" t="s">
        <v>2</v>
      </c>
      <c r="D50" s="43"/>
      <c r="E50" s="43"/>
      <c r="F50" s="8">
        <v>2405</v>
      </c>
      <c r="G50" s="7">
        <v>43</v>
      </c>
      <c r="H50" s="43"/>
      <c r="I50" s="47"/>
      <c r="J50" s="65"/>
    </row>
    <row r="51" spans="1:10" ht="6.75" customHeight="1" x14ac:dyDescent="0.35">
      <c r="A51" s="2"/>
      <c r="B51" s="2"/>
      <c r="C51" s="2"/>
      <c r="D51" s="28"/>
      <c r="E51" s="28"/>
      <c r="F51" s="2"/>
      <c r="G51" s="2"/>
      <c r="H51" s="2"/>
      <c r="I51" s="2"/>
      <c r="J51" s="2"/>
    </row>
    <row r="52" spans="1:10" x14ac:dyDescent="0.35">
      <c r="A52" s="42">
        <v>15</v>
      </c>
      <c r="B52" s="44">
        <v>43792</v>
      </c>
      <c r="C52" s="7" t="s">
        <v>1</v>
      </c>
      <c r="D52" s="42">
        <v>12150</v>
      </c>
      <c r="E52" s="42">
        <v>347</v>
      </c>
      <c r="F52" s="8">
        <v>6998</v>
      </c>
      <c r="G52" s="7">
        <v>195</v>
      </c>
      <c r="H52" s="42" t="s">
        <v>24</v>
      </c>
      <c r="I52" s="46" t="s">
        <v>8</v>
      </c>
      <c r="J52" s="64"/>
    </row>
    <row r="53" spans="1:10" x14ac:dyDescent="0.35">
      <c r="A53" s="43"/>
      <c r="B53" s="45"/>
      <c r="C53" s="7" t="s">
        <v>2</v>
      </c>
      <c r="D53" s="43"/>
      <c r="E53" s="43"/>
      <c r="F53" s="8">
        <v>187</v>
      </c>
      <c r="G53" s="7">
        <v>5</v>
      </c>
      <c r="H53" s="43"/>
      <c r="I53" s="47"/>
      <c r="J53" s="65"/>
    </row>
    <row r="54" spans="1:10" ht="6.75" customHeight="1" x14ac:dyDescent="0.35">
      <c r="A54" s="2"/>
      <c r="B54" s="2"/>
      <c r="C54" s="2"/>
      <c r="D54" s="28"/>
      <c r="E54" s="28"/>
      <c r="F54" s="2"/>
      <c r="G54" s="2"/>
      <c r="H54" s="2"/>
      <c r="I54" s="2"/>
      <c r="J54" s="2"/>
    </row>
    <row r="55" spans="1:10" x14ac:dyDescent="0.35">
      <c r="A55" s="42">
        <v>16</v>
      </c>
      <c r="B55" s="44">
        <v>43792</v>
      </c>
      <c r="C55" s="7" t="s">
        <v>1</v>
      </c>
      <c r="D55" s="42">
        <v>2020</v>
      </c>
      <c r="E55" s="42">
        <v>69</v>
      </c>
      <c r="F55" s="8">
        <v>1114</v>
      </c>
      <c r="G55" s="7">
        <v>53</v>
      </c>
      <c r="H55" s="42" t="s">
        <v>25</v>
      </c>
      <c r="I55" s="46" t="s">
        <v>8</v>
      </c>
      <c r="J55" s="64"/>
    </row>
    <row r="56" spans="1:10" x14ac:dyDescent="0.35">
      <c r="A56" s="43"/>
      <c r="B56" s="45"/>
      <c r="C56" s="7" t="s">
        <v>2</v>
      </c>
      <c r="D56" s="43"/>
      <c r="E56" s="43"/>
      <c r="F56" s="8">
        <v>906</v>
      </c>
      <c r="G56" s="7">
        <v>16</v>
      </c>
      <c r="H56" s="43"/>
      <c r="I56" s="47"/>
      <c r="J56" s="65"/>
    </row>
    <row r="57" spans="1:10" ht="6.7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s="12" customFormat="1" x14ac:dyDescent="0.35">
      <c r="A58" s="50"/>
      <c r="B58" s="52" t="s">
        <v>26</v>
      </c>
      <c r="C58" s="11" t="s">
        <v>1</v>
      </c>
      <c r="D58" s="50">
        <f>SUM(D40,D43,D46,D49,D52,D55)</f>
        <v>25258</v>
      </c>
      <c r="E58" s="50">
        <f>SUM(E40,E43,E46,E49,E52,E55)</f>
        <v>672</v>
      </c>
      <c r="F58" s="10">
        <f>SUM(F40,F43,F46,F49,F52,F55)</f>
        <v>13087</v>
      </c>
      <c r="G58" s="10">
        <f>SUM(G40,G43,G46,G49,G52,G55)</f>
        <v>389</v>
      </c>
      <c r="H58" s="50" t="s">
        <v>31</v>
      </c>
      <c r="I58" s="56" t="s">
        <v>32</v>
      </c>
      <c r="J58" s="56"/>
    </row>
    <row r="59" spans="1:10" s="12" customFormat="1" ht="15.75" customHeight="1" x14ac:dyDescent="0.35">
      <c r="A59" s="51"/>
      <c r="B59" s="53"/>
      <c r="C59" s="11" t="s">
        <v>2</v>
      </c>
      <c r="D59" s="51"/>
      <c r="E59" s="51"/>
      <c r="F59" s="10">
        <f>SUM(F41,F44,F47,F50,F53,F56)</f>
        <v>7232</v>
      </c>
      <c r="G59" s="10">
        <f>SUM(G41,G44,G47,G50,G53,G56)</f>
        <v>129</v>
      </c>
      <c r="H59" s="51"/>
      <c r="I59" s="57"/>
      <c r="J59" s="57"/>
    </row>
    <row r="60" spans="1:10" ht="6.7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35">
      <c r="A61" s="42">
        <v>17</v>
      </c>
      <c r="B61" s="44">
        <v>43801</v>
      </c>
      <c r="C61" s="7" t="s">
        <v>1</v>
      </c>
      <c r="D61" s="42">
        <v>4302</v>
      </c>
      <c r="E61" s="42">
        <v>124</v>
      </c>
      <c r="F61" s="8">
        <v>2795</v>
      </c>
      <c r="G61" s="7">
        <v>98</v>
      </c>
      <c r="H61" s="42" t="s">
        <v>25</v>
      </c>
      <c r="I61" s="46" t="s">
        <v>8</v>
      </c>
      <c r="J61" s="64"/>
    </row>
    <row r="62" spans="1:10" x14ac:dyDescent="0.35">
      <c r="A62" s="43"/>
      <c r="B62" s="45"/>
      <c r="C62" s="7" t="s">
        <v>2</v>
      </c>
      <c r="D62" s="43"/>
      <c r="E62" s="43"/>
      <c r="F62" s="8">
        <v>1395</v>
      </c>
      <c r="G62" s="7">
        <v>26</v>
      </c>
      <c r="H62" s="43"/>
      <c r="I62" s="47"/>
      <c r="J62" s="65"/>
    </row>
    <row r="63" spans="1:10" ht="6.75" customHeight="1" x14ac:dyDescent="0.35">
      <c r="A63" s="2"/>
      <c r="B63" s="2"/>
      <c r="C63" s="2"/>
      <c r="D63" s="28"/>
      <c r="E63" s="28"/>
      <c r="F63" s="2"/>
      <c r="G63" s="2"/>
      <c r="H63" s="2"/>
      <c r="I63" s="2"/>
      <c r="J63" s="2"/>
    </row>
    <row r="64" spans="1:10" x14ac:dyDescent="0.35">
      <c r="A64" s="42">
        <v>18</v>
      </c>
      <c r="B64" s="44">
        <v>43804</v>
      </c>
      <c r="C64" s="7" t="s">
        <v>1</v>
      </c>
      <c r="D64" s="42">
        <v>2868</v>
      </c>
      <c r="E64" s="42">
        <v>100</v>
      </c>
      <c r="F64" s="8">
        <v>2152</v>
      </c>
      <c r="G64" s="7">
        <v>94</v>
      </c>
      <c r="H64" s="42" t="s">
        <v>15</v>
      </c>
      <c r="I64" s="46" t="s">
        <v>8</v>
      </c>
      <c r="J64" s="64"/>
    </row>
    <row r="65" spans="1:10" x14ac:dyDescent="0.35">
      <c r="A65" s="43"/>
      <c r="B65" s="45"/>
      <c r="C65" s="7" t="s">
        <v>2</v>
      </c>
      <c r="D65" s="43"/>
      <c r="E65" s="43"/>
      <c r="F65" s="8">
        <v>340</v>
      </c>
      <c r="G65" s="7">
        <v>6</v>
      </c>
      <c r="H65" s="43"/>
      <c r="I65" s="47"/>
      <c r="J65" s="65"/>
    </row>
    <row r="66" spans="1:10" ht="6.75" customHeight="1" x14ac:dyDescent="0.35">
      <c r="A66" s="2"/>
      <c r="B66" s="2"/>
      <c r="C66" s="2"/>
      <c r="D66" s="28"/>
      <c r="E66" s="28"/>
      <c r="F66" s="2"/>
      <c r="G66" s="2"/>
      <c r="H66" s="2"/>
      <c r="I66" s="2"/>
      <c r="J66" s="2"/>
    </row>
    <row r="67" spans="1:10" x14ac:dyDescent="0.35">
      <c r="A67" s="42">
        <v>19</v>
      </c>
      <c r="B67" s="44">
        <v>43808</v>
      </c>
      <c r="C67" s="7" t="s">
        <v>1</v>
      </c>
      <c r="D67" s="42">
        <v>3128</v>
      </c>
      <c r="E67" s="42">
        <v>103</v>
      </c>
      <c r="F67" s="8">
        <v>2056</v>
      </c>
      <c r="G67" s="7">
        <v>83</v>
      </c>
      <c r="H67" s="42" t="s">
        <v>27</v>
      </c>
      <c r="I67" s="46" t="s">
        <v>8</v>
      </c>
      <c r="J67" s="64"/>
    </row>
    <row r="68" spans="1:10" x14ac:dyDescent="0.35">
      <c r="A68" s="43"/>
      <c r="B68" s="45"/>
      <c r="C68" s="7" t="s">
        <v>2</v>
      </c>
      <c r="D68" s="43"/>
      <c r="E68" s="43"/>
      <c r="F68" s="8">
        <v>931</v>
      </c>
      <c r="G68" s="7">
        <v>19</v>
      </c>
      <c r="H68" s="43"/>
      <c r="I68" s="47"/>
      <c r="J68" s="65"/>
    </row>
    <row r="69" spans="1:10" ht="6.75" customHeight="1" x14ac:dyDescent="0.35">
      <c r="A69" s="2"/>
      <c r="B69" s="2"/>
      <c r="C69" s="2"/>
      <c r="D69" s="28"/>
      <c r="E69" s="28"/>
      <c r="F69" s="2"/>
      <c r="G69" s="2"/>
      <c r="H69" s="2"/>
      <c r="I69" s="2"/>
      <c r="J69" s="2"/>
    </row>
    <row r="70" spans="1:10" x14ac:dyDescent="0.35">
      <c r="A70" s="42">
        <v>20</v>
      </c>
      <c r="B70" s="44">
        <v>43809</v>
      </c>
      <c r="C70" s="7" t="s">
        <v>1</v>
      </c>
      <c r="D70" s="42">
        <v>4422</v>
      </c>
      <c r="E70" s="42">
        <v>181</v>
      </c>
      <c r="F70" s="8">
        <v>3851</v>
      </c>
      <c r="G70" s="7">
        <v>176</v>
      </c>
      <c r="H70" s="42" t="s">
        <v>23</v>
      </c>
      <c r="I70" s="46" t="s">
        <v>8</v>
      </c>
      <c r="J70" s="64"/>
    </row>
    <row r="71" spans="1:10" x14ac:dyDescent="0.35">
      <c r="A71" s="43"/>
      <c r="B71" s="45"/>
      <c r="C71" s="7" t="s">
        <v>2</v>
      </c>
      <c r="D71" s="43"/>
      <c r="E71" s="43"/>
      <c r="F71" s="8">
        <v>228</v>
      </c>
      <c r="G71" s="7">
        <v>4</v>
      </c>
      <c r="H71" s="43"/>
      <c r="I71" s="47"/>
      <c r="J71" s="65"/>
    </row>
    <row r="72" spans="1:10" ht="6.75" customHeight="1" x14ac:dyDescent="0.35">
      <c r="A72" s="2"/>
      <c r="B72" s="2"/>
      <c r="C72" s="2"/>
      <c r="D72" s="28"/>
      <c r="E72" s="28"/>
      <c r="F72" s="2"/>
      <c r="G72" s="2"/>
      <c r="H72" s="2"/>
      <c r="I72" s="2"/>
      <c r="J72" s="2"/>
    </row>
    <row r="73" spans="1:10" x14ac:dyDescent="0.35">
      <c r="A73" s="42">
        <v>21</v>
      </c>
      <c r="B73" s="44">
        <v>43815</v>
      </c>
      <c r="C73" s="7" t="s">
        <v>1</v>
      </c>
      <c r="D73" s="42">
        <v>3813</v>
      </c>
      <c r="E73" s="42">
        <v>108</v>
      </c>
      <c r="F73" s="8">
        <v>2590</v>
      </c>
      <c r="G73" s="7">
        <v>89</v>
      </c>
      <c r="H73" s="42" t="s">
        <v>25</v>
      </c>
      <c r="I73" s="46" t="s">
        <v>8</v>
      </c>
      <c r="J73" s="64"/>
    </row>
    <row r="74" spans="1:10" x14ac:dyDescent="0.35">
      <c r="A74" s="43"/>
      <c r="B74" s="45"/>
      <c r="C74" s="7" t="s">
        <v>2</v>
      </c>
      <c r="D74" s="43"/>
      <c r="E74" s="43"/>
      <c r="F74" s="8">
        <v>1010</v>
      </c>
      <c r="G74" s="7">
        <v>19</v>
      </c>
      <c r="H74" s="43"/>
      <c r="I74" s="47"/>
      <c r="J74" s="65"/>
    </row>
    <row r="75" spans="1:10" ht="6.75" customHeight="1" x14ac:dyDescent="0.35">
      <c r="A75" s="2"/>
      <c r="B75" s="2"/>
      <c r="C75" s="2"/>
      <c r="D75" s="28"/>
      <c r="E75" s="28"/>
      <c r="F75" s="2"/>
      <c r="G75" s="2"/>
      <c r="H75" s="2"/>
      <c r="I75" s="2"/>
      <c r="J75" s="2"/>
    </row>
    <row r="76" spans="1:10" x14ac:dyDescent="0.35">
      <c r="A76" s="42">
        <v>22</v>
      </c>
      <c r="B76" s="44">
        <v>43817</v>
      </c>
      <c r="C76" s="7" t="s">
        <v>1</v>
      </c>
      <c r="D76" s="42">
        <v>3521</v>
      </c>
      <c r="E76" s="42">
        <v>119</v>
      </c>
      <c r="F76" s="8">
        <v>2850</v>
      </c>
      <c r="G76" s="7">
        <v>112</v>
      </c>
      <c r="H76" s="42" t="s">
        <v>28</v>
      </c>
      <c r="I76" s="46" t="s">
        <v>8</v>
      </c>
      <c r="J76" s="64"/>
    </row>
    <row r="77" spans="1:10" x14ac:dyDescent="0.35">
      <c r="A77" s="43"/>
      <c r="B77" s="45"/>
      <c r="C77" s="7" t="s">
        <v>2</v>
      </c>
      <c r="D77" s="43"/>
      <c r="E77" s="43"/>
      <c r="F77" s="8">
        <v>378</v>
      </c>
      <c r="G77" s="7">
        <v>7</v>
      </c>
      <c r="H77" s="43"/>
      <c r="I77" s="47"/>
      <c r="J77" s="65"/>
    </row>
    <row r="78" spans="1:10" ht="6.75" customHeight="1" x14ac:dyDescent="0.35">
      <c r="A78" s="2"/>
      <c r="B78" s="2"/>
      <c r="C78" s="2"/>
      <c r="D78" s="28"/>
      <c r="E78" s="28"/>
      <c r="F78" s="2"/>
      <c r="G78" s="2"/>
      <c r="H78" s="2"/>
      <c r="I78" s="2"/>
      <c r="J78" s="2"/>
    </row>
    <row r="79" spans="1:10" x14ac:dyDescent="0.35">
      <c r="A79" s="42">
        <v>23</v>
      </c>
      <c r="B79" s="44">
        <v>43822</v>
      </c>
      <c r="C79" s="7" t="s">
        <v>1</v>
      </c>
      <c r="D79" s="42">
        <v>2344</v>
      </c>
      <c r="E79" s="42">
        <v>54</v>
      </c>
      <c r="F79" s="8">
        <v>1359</v>
      </c>
      <c r="G79" s="7">
        <v>43</v>
      </c>
      <c r="H79" s="42" t="s">
        <v>27</v>
      </c>
      <c r="I79" s="46" t="s">
        <v>8</v>
      </c>
      <c r="J79" s="64"/>
    </row>
    <row r="80" spans="1:10" x14ac:dyDescent="0.35">
      <c r="A80" s="43"/>
      <c r="B80" s="45"/>
      <c r="C80" s="7" t="s">
        <v>2</v>
      </c>
      <c r="D80" s="43"/>
      <c r="E80" s="43"/>
      <c r="F80" s="8">
        <v>659</v>
      </c>
      <c r="G80" s="7">
        <v>11</v>
      </c>
      <c r="H80" s="43"/>
      <c r="I80" s="47"/>
      <c r="J80" s="65"/>
    </row>
    <row r="81" spans="1:10" ht="6.7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s="12" customFormat="1" ht="15" customHeight="1" x14ac:dyDescent="0.35">
      <c r="A82" s="50"/>
      <c r="B82" s="52" t="s">
        <v>29</v>
      </c>
      <c r="C82" s="11" t="s">
        <v>1</v>
      </c>
      <c r="D82" s="50">
        <f>SUM(D61,D64,D67,D70,D73,D76,D79)</f>
        <v>24398</v>
      </c>
      <c r="E82" s="50">
        <f>SUM(E61,E64,E67,E70,E73,E76,E79)</f>
        <v>789</v>
      </c>
      <c r="F82" s="10">
        <f>SUM(F61,F64,F67,F70,F73,F76,F79)</f>
        <v>17653</v>
      </c>
      <c r="G82" s="10">
        <f>SUM(G61,G64,G67,G70,G73,G76,G79)</f>
        <v>695</v>
      </c>
      <c r="H82" s="50" t="s">
        <v>30</v>
      </c>
      <c r="I82" s="56" t="s">
        <v>32</v>
      </c>
      <c r="J82" s="56"/>
    </row>
    <row r="83" spans="1:10" s="12" customFormat="1" ht="15.75" customHeight="1" x14ac:dyDescent="0.35">
      <c r="A83" s="51"/>
      <c r="B83" s="53"/>
      <c r="C83" s="11" t="s">
        <v>2</v>
      </c>
      <c r="D83" s="51"/>
      <c r="E83" s="51"/>
      <c r="F83" s="10">
        <f>SUM(F62,F65,F68,F71,F74,F77,F80)</f>
        <v>4941</v>
      </c>
      <c r="G83" s="10">
        <f>SUM(G62,G65,G68,G71,G74,G77,G80)</f>
        <v>92</v>
      </c>
      <c r="H83" s="51"/>
      <c r="I83" s="57"/>
      <c r="J83" s="57"/>
    </row>
    <row r="84" spans="1:10" s="12" customFormat="1" ht="15" customHeight="1" x14ac:dyDescent="0.35">
      <c r="A84" s="82"/>
      <c r="B84" s="84" t="s">
        <v>33</v>
      </c>
      <c r="C84" s="30" t="s">
        <v>1</v>
      </c>
      <c r="D84" s="82">
        <f>SUM(D16,D37,D58,D82)</f>
        <v>97760</v>
      </c>
      <c r="E84" s="82">
        <f>SUM(E16,E37,E58,E82)</f>
        <v>2587</v>
      </c>
      <c r="F84" s="31">
        <f>SUM(F16,F37,F58,F82)</f>
        <v>42444.2</v>
      </c>
      <c r="G84" s="31">
        <f>SUM(G16,G37,G58,G82)</f>
        <v>1370</v>
      </c>
      <c r="H84" s="82" t="s">
        <v>34</v>
      </c>
      <c r="I84" s="80" t="s">
        <v>35</v>
      </c>
      <c r="J84" s="80" t="s">
        <v>21</v>
      </c>
    </row>
    <row r="85" spans="1:10" s="12" customFormat="1" ht="15.75" customHeight="1" x14ac:dyDescent="0.35">
      <c r="A85" s="83"/>
      <c r="B85" s="85"/>
      <c r="C85" s="30" t="s">
        <v>2</v>
      </c>
      <c r="D85" s="83"/>
      <c r="E85" s="83"/>
      <c r="F85" s="31">
        <f>SUM(F17,F38,F59,F83)</f>
        <v>32233.4</v>
      </c>
      <c r="G85" s="31">
        <f>SUM(G17,G38,G59,G83)</f>
        <v>643</v>
      </c>
      <c r="H85" s="83"/>
      <c r="I85" s="81"/>
      <c r="J85" s="81"/>
    </row>
    <row r="86" spans="1:10" ht="6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35">
      <c r="A87" s="42">
        <v>22</v>
      </c>
      <c r="B87" s="44">
        <v>43840</v>
      </c>
      <c r="C87" s="7" t="s">
        <v>1</v>
      </c>
      <c r="D87" s="42">
        <v>12253</v>
      </c>
      <c r="E87" s="42">
        <v>357</v>
      </c>
      <c r="F87" s="8">
        <v>5017</v>
      </c>
      <c r="G87" s="7">
        <v>140</v>
      </c>
      <c r="H87" s="42" t="s">
        <v>36</v>
      </c>
      <c r="I87" s="46" t="s">
        <v>7</v>
      </c>
      <c r="J87" s="64"/>
    </row>
    <row r="88" spans="1:10" x14ac:dyDescent="0.35">
      <c r="A88" s="43"/>
      <c r="B88" s="45"/>
      <c r="C88" s="7" t="s">
        <v>2</v>
      </c>
      <c r="D88" s="43"/>
      <c r="E88" s="43"/>
      <c r="F88" s="8">
        <v>1702</v>
      </c>
      <c r="G88" s="7">
        <v>39</v>
      </c>
      <c r="H88" s="43"/>
      <c r="I88" s="47"/>
      <c r="J88" s="65"/>
    </row>
    <row r="89" spans="1:10" ht="6" customHeight="1" x14ac:dyDescent="0.35">
      <c r="A89" s="2"/>
      <c r="B89" s="2"/>
      <c r="C89" s="2"/>
      <c r="D89" s="28"/>
      <c r="E89" s="28"/>
      <c r="F89" s="2"/>
      <c r="G89" s="2"/>
      <c r="H89" s="2"/>
      <c r="I89" s="2"/>
      <c r="J89" s="2"/>
    </row>
    <row r="90" spans="1:10" x14ac:dyDescent="0.35">
      <c r="A90" s="42">
        <v>23</v>
      </c>
      <c r="B90" s="44">
        <v>43851</v>
      </c>
      <c r="C90" s="7" t="s">
        <v>1</v>
      </c>
      <c r="D90" s="42">
        <v>2886</v>
      </c>
      <c r="E90" s="42">
        <v>101</v>
      </c>
      <c r="F90" s="8">
        <v>2097</v>
      </c>
      <c r="G90" s="7">
        <v>77</v>
      </c>
      <c r="H90" s="42" t="s">
        <v>9</v>
      </c>
      <c r="I90" s="46" t="s">
        <v>8</v>
      </c>
      <c r="J90" s="64"/>
    </row>
    <row r="91" spans="1:10" x14ac:dyDescent="0.35">
      <c r="A91" s="43"/>
      <c r="B91" s="45"/>
      <c r="C91" s="7" t="s">
        <v>2</v>
      </c>
      <c r="D91" s="43"/>
      <c r="E91" s="43"/>
      <c r="F91" s="8">
        <v>720</v>
      </c>
      <c r="G91" s="7">
        <v>20</v>
      </c>
      <c r="H91" s="43"/>
      <c r="I91" s="47"/>
      <c r="J91" s="65"/>
    </row>
    <row r="92" spans="1:10" ht="5.2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" customHeight="1" x14ac:dyDescent="0.35">
      <c r="A93" s="50"/>
      <c r="B93" s="52" t="s">
        <v>37</v>
      </c>
      <c r="C93" s="11" t="s">
        <v>1</v>
      </c>
      <c r="D93" s="50">
        <v>15139</v>
      </c>
      <c r="E93" s="50">
        <v>458</v>
      </c>
      <c r="F93" s="10">
        <f>SUM(F87+F90)</f>
        <v>7114</v>
      </c>
      <c r="G93" s="10">
        <f>SUM(G87+G90)</f>
        <v>217</v>
      </c>
      <c r="H93" s="50" t="s">
        <v>38</v>
      </c>
      <c r="I93" s="56" t="s">
        <v>39</v>
      </c>
      <c r="J93" s="56"/>
    </row>
    <row r="94" spans="1:10" x14ac:dyDescent="0.35">
      <c r="A94" s="51"/>
      <c r="B94" s="53"/>
      <c r="C94" s="11" t="s">
        <v>2</v>
      </c>
      <c r="D94" s="51"/>
      <c r="E94" s="51"/>
      <c r="F94" s="10">
        <f>SUM(F88+F91)</f>
        <v>2422</v>
      </c>
      <c r="G94" s="10">
        <f>SUM(G88+G91)</f>
        <v>59</v>
      </c>
      <c r="H94" s="51"/>
      <c r="I94" s="57"/>
      <c r="J94" s="57"/>
    </row>
    <row r="95" spans="1:10" ht="6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35">
      <c r="A96" s="42">
        <v>24</v>
      </c>
      <c r="B96" s="44">
        <v>43862</v>
      </c>
      <c r="C96" s="7" t="s">
        <v>1</v>
      </c>
      <c r="D96" s="42">
        <v>2844</v>
      </c>
      <c r="E96" s="42">
        <v>92</v>
      </c>
      <c r="F96" s="8">
        <v>2001</v>
      </c>
      <c r="G96" s="7">
        <v>73</v>
      </c>
      <c r="H96" s="42" t="s">
        <v>40</v>
      </c>
      <c r="I96" s="46" t="s">
        <v>8</v>
      </c>
      <c r="J96" s="64"/>
    </row>
    <row r="97" spans="1:10" x14ac:dyDescent="0.35">
      <c r="A97" s="43"/>
      <c r="B97" s="45"/>
      <c r="C97" s="7" t="s">
        <v>2</v>
      </c>
      <c r="D97" s="43"/>
      <c r="E97" s="43"/>
      <c r="F97" s="8">
        <v>843</v>
      </c>
      <c r="G97" s="7">
        <v>19</v>
      </c>
      <c r="H97" s="43"/>
      <c r="I97" s="47"/>
      <c r="J97" s="65"/>
    </row>
    <row r="98" spans="1:10" ht="6" customHeight="1" x14ac:dyDescent="0.35">
      <c r="A98" s="2"/>
      <c r="B98" s="2"/>
      <c r="C98" s="2"/>
      <c r="D98" s="28"/>
      <c r="E98" s="28"/>
      <c r="F98" s="2"/>
      <c r="G98" s="2"/>
      <c r="H98" s="2"/>
      <c r="I98" s="2"/>
      <c r="J98" s="2"/>
    </row>
    <row r="99" spans="1:10" x14ac:dyDescent="0.35">
      <c r="A99" s="42">
        <v>25</v>
      </c>
      <c r="B99" s="44">
        <v>43867</v>
      </c>
      <c r="C99" s="7" t="s">
        <v>1</v>
      </c>
      <c r="D99" s="42">
        <v>1744</v>
      </c>
      <c r="E99" s="42">
        <v>67</v>
      </c>
      <c r="F99" s="8">
        <v>1369</v>
      </c>
      <c r="G99" s="7">
        <v>59</v>
      </c>
      <c r="H99" s="42" t="s">
        <v>13</v>
      </c>
      <c r="I99" s="46" t="s">
        <v>8</v>
      </c>
      <c r="J99" s="64"/>
    </row>
    <row r="100" spans="1:10" x14ac:dyDescent="0.35">
      <c r="A100" s="43"/>
      <c r="B100" s="45"/>
      <c r="C100" s="7" t="s">
        <v>2</v>
      </c>
      <c r="D100" s="43"/>
      <c r="E100" s="43"/>
      <c r="F100" s="8">
        <v>375</v>
      </c>
      <c r="G100" s="7">
        <v>8</v>
      </c>
      <c r="H100" s="43"/>
      <c r="I100" s="47"/>
      <c r="J100" s="65"/>
    </row>
    <row r="101" spans="1:10" ht="5.2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35">
      <c r="A102" s="42">
        <v>26</v>
      </c>
      <c r="B102" s="44">
        <v>43876</v>
      </c>
      <c r="C102" s="7" t="s">
        <v>1</v>
      </c>
      <c r="D102" s="42">
        <v>4602</v>
      </c>
      <c r="E102" s="42">
        <v>145</v>
      </c>
      <c r="F102" s="8">
        <v>818</v>
      </c>
      <c r="G102" s="7">
        <v>21</v>
      </c>
      <c r="H102" s="42" t="s">
        <v>13</v>
      </c>
      <c r="I102" s="46" t="s">
        <v>8</v>
      </c>
      <c r="J102" s="64"/>
    </row>
    <row r="103" spans="1:10" x14ac:dyDescent="0.35">
      <c r="A103" s="43"/>
      <c r="B103" s="45"/>
      <c r="C103" s="7" t="s">
        <v>2</v>
      </c>
      <c r="D103" s="43"/>
      <c r="E103" s="43"/>
      <c r="F103" s="8">
        <v>1524</v>
      </c>
      <c r="G103" s="7">
        <v>33</v>
      </c>
      <c r="H103" s="43"/>
      <c r="I103" s="47"/>
      <c r="J103" s="65"/>
    </row>
    <row r="104" spans="1:10" ht="6" customHeight="1" x14ac:dyDescent="0.35">
      <c r="A104" s="2"/>
      <c r="B104" s="2"/>
      <c r="C104" s="2"/>
      <c r="D104" s="28"/>
      <c r="E104" s="28"/>
      <c r="F104" s="2"/>
      <c r="G104" s="2"/>
      <c r="H104" s="2"/>
      <c r="I104" s="2"/>
      <c r="J104" s="2"/>
    </row>
    <row r="105" spans="1:10" x14ac:dyDescent="0.35">
      <c r="A105" s="42">
        <v>27</v>
      </c>
      <c r="B105" s="44">
        <v>43883</v>
      </c>
      <c r="C105" s="7" t="s">
        <v>1</v>
      </c>
      <c r="D105" s="42">
        <v>1469</v>
      </c>
      <c r="E105" s="42">
        <v>50</v>
      </c>
      <c r="F105" s="8">
        <v>554</v>
      </c>
      <c r="G105" s="7">
        <v>27</v>
      </c>
      <c r="H105" s="42" t="s">
        <v>13</v>
      </c>
      <c r="I105" s="46" t="s">
        <v>8</v>
      </c>
      <c r="J105" s="64"/>
    </row>
    <row r="106" spans="1:10" x14ac:dyDescent="0.35">
      <c r="A106" s="43"/>
      <c r="B106" s="45"/>
      <c r="C106" s="7" t="s">
        <v>2</v>
      </c>
      <c r="D106" s="43"/>
      <c r="E106" s="43"/>
      <c r="F106" s="8"/>
      <c r="G106" s="7"/>
      <c r="H106" s="43"/>
      <c r="I106" s="47"/>
      <c r="J106" s="65"/>
    </row>
    <row r="107" spans="1:10" ht="5.2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" customHeight="1" x14ac:dyDescent="0.35">
      <c r="A108" s="50"/>
      <c r="B108" s="52" t="s">
        <v>42</v>
      </c>
      <c r="C108" s="11" t="s">
        <v>1</v>
      </c>
      <c r="D108" s="50">
        <f>SUM(D96:D106)</f>
        <v>10659</v>
      </c>
      <c r="E108" s="50">
        <f>SUM(E96:E106)</f>
        <v>354</v>
      </c>
      <c r="F108" s="10">
        <f>SUM(F96+F99+F102+F105)</f>
        <v>4742</v>
      </c>
      <c r="G108" s="10">
        <f>SUM(G96+G99+G102+G105)</f>
        <v>180</v>
      </c>
      <c r="H108" s="50" t="s">
        <v>41</v>
      </c>
      <c r="I108" s="56" t="s">
        <v>32</v>
      </c>
      <c r="J108" s="56"/>
    </row>
    <row r="109" spans="1:10" x14ac:dyDescent="0.35">
      <c r="A109" s="51"/>
      <c r="B109" s="53"/>
      <c r="C109" s="11" t="s">
        <v>2</v>
      </c>
      <c r="D109" s="51"/>
      <c r="E109" s="51"/>
      <c r="F109" s="10">
        <f>SUM(F97+F100+F103)</f>
        <v>2742</v>
      </c>
      <c r="G109" s="10">
        <f>SUM(G97+G100+G103)</f>
        <v>60</v>
      </c>
      <c r="H109" s="51"/>
      <c r="I109" s="57"/>
      <c r="J109" s="57"/>
    </row>
    <row r="110" spans="1:10" ht="6" customHeight="1" x14ac:dyDescent="0.35"/>
    <row r="111" spans="1:10" x14ac:dyDescent="0.35">
      <c r="A111" s="42">
        <v>28</v>
      </c>
      <c r="B111" s="44">
        <v>43894</v>
      </c>
      <c r="C111" s="7" t="s">
        <v>1</v>
      </c>
      <c r="D111" s="42">
        <v>2504</v>
      </c>
      <c r="E111" s="42">
        <v>113</v>
      </c>
      <c r="F111" s="8">
        <v>1756</v>
      </c>
      <c r="G111" s="7">
        <v>80</v>
      </c>
      <c r="H111" s="42" t="s">
        <v>13</v>
      </c>
      <c r="I111" s="46" t="s">
        <v>8</v>
      </c>
      <c r="J111" s="64"/>
    </row>
    <row r="112" spans="1:10" x14ac:dyDescent="0.35">
      <c r="A112" s="43"/>
      <c r="B112" s="45"/>
      <c r="C112" s="7" t="s">
        <v>2</v>
      </c>
      <c r="D112" s="43"/>
      <c r="E112" s="43"/>
      <c r="F112" s="8">
        <v>278</v>
      </c>
      <c r="G112" s="7">
        <v>9</v>
      </c>
      <c r="H112" s="43"/>
      <c r="I112" s="47"/>
      <c r="J112" s="65"/>
    </row>
    <row r="113" spans="1:10" ht="6" customHeight="1" x14ac:dyDescent="0.35">
      <c r="A113" s="2"/>
      <c r="B113" s="2"/>
      <c r="C113" s="2"/>
      <c r="D113" s="28"/>
      <c r="E113" s="28"/>
      <c r="F113" s="2"/>
      <c r="G113" s="2"/>
      <c r="H113" s="2"/>
      <c r="I113" s="2"/>
      <c r="J113" s="2"/>
    </row>
    <row r="114" spans="1:10" x14ac:dyDescent="0.35">
      <c r="A114" s="42">
        <v>29</v>
      </c>
      <c r="B114" s="44">
        <v>43897</v>
      </c>
      <c r="C114" s="7" t="s">
        <v>1</v>
      </c>
      <c r="D114" s="42">
        <v>1293</v>
      </c>
      <c r="E114" s="42">
        <v>57</v>
      </c>
      <c r="F114" s="8">
        <v>1068</v>
      </c>
      <c r="G114" s="7">
        <v>51</v>
      </c>
      <c r="H114" s="42" t="s">
        <v>23</v>
      </c>
      <c r="I114" s="46" t="s">
        <v>8</v>
      </c>
      <c r="J114" s="64"/>
    </row>
    <row r="115" spans="1:10" x14ac:dyDescent="0.35">
      <c r="A115" s="43"/>
      <c r="B115" s="45"/>
      <c r="C115" s="7" t="s">
        <v>2</v>
      </c>
      <c r="D115" s="43"/>
      <c r="E115" s="43"/>
      <c r="F115" s="8">
        <v>225</v>
      </c>
      <c r="G115" s="7">
        <v>6</v>
      </c>
      <c r="H115" s="43"/>
      <c r="I115" s="47"/>
      <c r="J115" s="65"/>
    </row>
    <row r="116" spans="1:10" ht="5.2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35">
      <c r="A117" s="42">
        <v>30</v>
      </c>
      <c r="B117" s="44">
        <v>43899</v>
      </c>
      <c r="C117" s="7" t="s">
        <v>1</v>
      </c>
      <c r="D117" s="42">
        <v>2719</v>
      </c>
      <c r="E117" s="42">
        <v>73</v>
      </c>
      <c r="F117" s="8">
        <v>1759</v>
      </c>
      <c r="G117" s="7">
        <v>53</v>
      </c>
      <c r="H117" s="42" t="s">
        <v>14</v>
      </c>
      <c r="I117" s="46" t="s">
        <v>8</v>
      </c>
      <c r="J117" s="64"/>
    </row>
    <row r="118" spans="1:10" x14ac:dyDescent="0.35">
      <c r="A118" s="43"/>
      <c r="B118" s="45"/>
      <c r="C118" s="7" t="s">
        <v>2</v>
      </c>
      <c r="D118" s="43"/>
      <c r="E118" s="43"/>
      <c r="F118" s="8">
        <v>960</v>
      </c>
      <c r="G118" s="7">
        <v>20</v>
      </c>
      <c r="H118" s="43"/>
      <c r="I118" s="47"/>
      <c r="J118" s="65"/>
    </row>
    <row r="119" spans="1:10" ht="6" customHeight="1" x14ac:dyDescent="0.35">
      <c r="A119" s="2"/>
      <c r="B119" s="2"/>
      <c r="C119" s="2"/>
      <c r="D119" s="28"/>
      <c r="E119" s="28"/>
      <c r="F119" s="2"/>
      <c r="G119" s="2"/>
      <c r="H119" s="2"/>
      <c r="I119" s="2"/>
      <c r="J119" s="2"/>
    </row>
    <row r="120" spans="1:10" x14ac:dyDescent="0.35">
      <c r="A120" s="42">
        <v>31</v>
      </c>
      <c r="B120" s="44">
        <v>43904</v>
      </c>
      <c r="C120" s="7" t="s">
        <v>1</v>
      </c>
      <c r="D120" s="42">
        <v>8815</v>
      </c>
      <c r="E120" s="42">
        <v>298</v>
      </c>
      <c r="F120" s="8">
        <v>5002</v>
      </c>
      <c r="G120" s="7">
        <v>181</v>
      </c>
      <c r="H120" s="42" t="s">
        <v>3</v>
      </c>
      <c r="I120" s="46" t="s">
        <v>8</v>
      </c>
      <c r="J120" s="64"/>
    </row>
    <row r="121" spans="1:10" x14ac:dyDescent="0.35">
      <c r="A121" s="43"/>
      <c r="B121" s="45"/>
      <c r="C121" s="7" t="s">
        <v>2</v>
      </c>
      <c r="D121" s="43"/>
      <c r="E121" s="43"/>
      <c r="F121" s="8">
        <v>790</v>
      </c>
      <c r="G121" s="7">
        <v>19</v>
      </c>
      <c r="H121" s="43"/>
      <c r="I121" s="47"/>
      <c r="J121" s="65"/>
    </row>
    <row r="122" spans="1:10" ht="5.2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35">
      <c r="A123" s="42">
        <v>32</v>
      </c>
      <c r="B123" s="44">
        <v>43920</v>
      </c>
      <c r="C123" s="7" t="s">
        <v>1</v>
      </c>
      <c r="D123" s="42">
        <v>2645</v>
      </c>
      <c r="E123" s="42">
        <v>75</v>
      </c>
      <c r="F123" s="8">
        <v>1606</v>
      </c>
      <c r="G123" s="7">
        <v>42</v>
      </c>
      <c r="H123" s="42" t="s">
        <v>25</v>
      </c>
      <c r="I123" s="46" t="s">
        <v>8</v>
      </c>
      <c r="J123" s="64"/>
    </row>
    <row r="124" spans="1:10" x14ac:dyDescent="0.35">
      <c r="A124" s="43"/>
      <c r="B124" s="45"/>
      <c r="C124" s="7" t="s">
        <v>2</v>
      </c>
      <c r="D124" s="43"/>
      <c r="E124" s="43"/>
      <c r="F124" s="8">
        <v>628</v>
      </c>
      <c r="G124" s="7">
        <v>12</v>
      </c>
      <c r="H124" s="43"/>
      <c r="I124" s="47"/>
      <c r="J124" s="65"/>
    </row>
    <row r="125" spans="1:10" ht="6.75" customHeight="1" x14ac:dyDescent="0.35"/>
    <row r="126" spans="1:10" ht="15" customHeight="1" x14ac:dyDescent="0.35">
      <c r="A126" s="50"/>
      <c r="B126" s="52" t="s">
        <v>43</v>
      </c>
      <c r="C126" s="11" t="s">
        <v>1</v>
      </c>
      <c r="D126" s="50">
        <f>SUM(D111+D114+D117+D120+D123)</f>
        <v>17976</v>
      </c>
      <c r="E126" s="50">
        <f>SUM(E111+E114+E117+E120+E123)</f>
        <v>616</v>
      </c>
      <c r="F126" s="10">
        <f>SUM(F111+F114+F117+F120+F123)</f>
        <v>11191</v>
      </c>
      <c r="G126" s="10">
        <f>SUM(G111+G114+G117+G120+G123)</f>
        <v>407</v>
      </c>
      <c r="H126" s="50" t="s">
        <v>44</v>
      </c>
      <c r="I126" s="56" t="s">
        <v>32</v>
      </c>
      <c r="J126" s="56"/>
    </row>
    <row r="127" spans="1:10" x14ac:dyDescent="0.35">
      <c r="A127" s="51"/>
      <c r="B127" s="53"/>
      <c r="C127" s="11" t="s">
        <v>2</v>
      </c>
      <c r="D127" s="51"/>
      <c r="E127" s="51"/>
      <c r="F127" s="10">
        <f>SUM(F112+F115+F118+F121+F124)</f>
        <v>2881</v>
      </c>
      <c r="G127" s="10">
        <f>SUM(G112+G115+G118+G121+G124)</f>
        <v>66</v>
      </c>
      <c r="H127" s="51"/>
      <c r="I127" s="57"/>
      <c r="J127" s="57"/>
    </row>
    <row r="128" spans="1:10" ht="5.2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35">
      <c r="A129" s="42">
        <v>32</v>
      </c>
      <c r="B129" s="44">
        <v>43927</v>
      </c>
      <c r="C129" s="7" t="s">
        <v>1</v>
      </c>
      <c r="D129" s="42">
        <v>7227</v>
      </c>
      <c r="E129" s="42">
        <v>154</v>
      </c>
      <c r="F129" s="8">
        <v>3371</v>
      </c>
      <c r="G129" s="7">
        <v>79</v>
      </c>
      <c r="H129" s="42" t="s">
        <v>27</v>
      </c>
      <c r="I129" s="46" t="s">
        <v>8</v>
      </c>
      <c r="J129" s="64"/>
    </row>
    <row r="130" spans="1:10" x14ac:dyDescent="0.35">
      <c r="A130" s="43"/>
      <c r="B130" s="45"/>
      <c r="C130" s="7" t="s">
        <v>2</v>
      </c>
      <c r="D130" s="43"/>
      <c r="E130" s="43"/>
      <c r="F130" s="8">
        <v>1876</v>
      </c>
      <c r="G130" s="7">
        <v>44</v>
      </c>
      <c r="H130" s="43"/>
      <c r="I130" s="47"/>
      <c r="J130" s="65"/>
    </row>
    <row r="131" spans="1:10" ht="6.75" customHeight="1" x14ac:dyDescent="0.35"/>
    <row r="132" spans="1:10" ht="15" customHeight="1" x14ac:dyDescent="0.35">
      <c r="A132" s="50"/>
      <c r="B132" s="52" t="s">
        <v>46</v>
      </c>
      <c r="C132" s="11" t="s">
        <v>1</v>
      </c>
      <c r="D132" s="50">
        <v>7227</v>
      </c>
      <c r="E132" s="50">
        <v>154</v>
      </c>
      <c r="F132" s="10">
        <v>3371</v>
      </c>
      <c r="G132" s="10">
        <v>79</v>
      </c>
      <c r="H132" s="50" t="s">
        <v>27</v>
      </c>
      <c r="I132" s="54" t="s">
        <v>47</v>
      </c>
      <c r="J132" s="56"/>
    </row>
    <row r="133" spans="1:10" x14ac:dyDescent="0.35">
      <c r="A133" s="51"/>
      <c r="B133" s="53"/>
      <c r="C133" s="11" t="s">
        <v>2</v>
      </c>
      <c r="D133" s="51"/>
      <c r="E133" s="51"/>
      <c r="F133" s="10">
        <v>1876</v>
      </c>
      <c r="G133" s="10">
        <v>44</v>
      </c>
      <c r="H133" s="51"/>
      <c r="I133" s="55"/>
      <c r="J133" s="57"/>
    </row>
    <row r="134" spans="1:10" ht="6" customHeight="1" x14ac:dyDescent="0.35"/>
    <row r="135" spans="1:10" x14ac:dyDescent="0.35">
      <c r="A135" s="42">
        <v>33</v>
      </c>
      <c r="B135" s="44">
        <v>43957</v>
      </c>
      <c r="C135" s="7" t="s">
        <v>1</v>
      </c>
      <c r="D135" s="42">
        <v>11713</v>
      </c>
      <c r="E135" s="42">
        <v>301</v>
      </c>
      <c r="F135" s="8"/>
      <c r="G135" s="7"/>
      <c r="H135" s="42" t="s">
        <v>3</v>
      </c>
      <c r="I135" s="46"/>
      <c r="J135" s="62" t="s">
        <v>48</v>
      </c>
    </row>
    <row r="136" spans="1:10" x14ac:dyDescent="0.35">
      <c r="A136" s="43"/>
      <c r="B136" s="45"/>
      <c r="C136" s="7" t="s">
        <v>2</v>
      </c>
      <c r="D136" s="43"/>
      <c r="E136" s="43"/>
      <c r="F136" s="8"/>
      <c r="G136" s="7"/>
      <c r="H136" s="43"/>
      <c r="I136" s="47"/>
      <c r="J136" s="63"/>
    </row>
    <row r="137" spans="1:10" ht="6" customHeight="1" x14ac:dyDescent="0.35">
      <c r="A137" s="2"/>
      <c r="B137" s="2"/>
      <c r="C137" s="2"/>
      <c r="D137" s="28"/>
      <c r="E137" s="28"/>
      <c r="F137" s="2"/>
      <c r="G137" s="2"/>
      <c r="H137" s="2"/>
      <c r="I137" s="2"/>
      <c r="J137" s="2"/>
    </row>
    <row r="138" spans="1:10" x14ac:dyDescent="0.35">
      <c r="A138" s="42">
        <v>34</v>
      </c>
      <c r="B138" s="44">
        <v>43960</v>
      </c>
      <c r="C138" s="7" t="s">
        <v>1</v>
      </c>
      <c r="D138" s="42">
        <v>2009</v>
      </c>
      <c r="E138" s="42">
        <v>55</v>
      </c>
      <c r="F138" s="8"/>
      <c r="G138" s="7"/>
      <c r="H138" s="42" t="s">
        <v>23</v>
      </c>
      <c r="I138" s="46"/>
      <c r="J138" s="62" t="s">
        <v>48</v>
      </c>
    </row>
    <row r="139" spans="1:10" x14ac:dyDescent="0.35">
      <c r="A139" s="43"/>
      <c r="B139" s="45"/>
      <c r="C139" s="7" t="s">
        <v>2</v>
      </c>
      <c r="D139" s="43"/>
      <c r="E139" s="43"/>
      <c r="F139" s="8"/>
      <c r="G139" s="7"/>
      <c r="H139" s="43"/>
      <c r="I139" s="47"/>
      <c r="J139" s="63"/>
    </row>
    <row r="140" spans="1:10" ht="5.2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35">
      <c r="A141" s="42">
        <v>35</v>
      </c>
      <c r="B141" s="44">
        <v>43964</v>
      </c>
      <c r="C141" s="7" t="s">
        <v>1</v>
      </c>
      <c r="D141" s="42">
        <v>5975</v>
      </c>
      <c r="E141" s="42">
        <v>158</v>
      </c>
      <c r="F141" s="8"/>
      <c r="G141" s="7"/>
      <c r="H141" s="42" t="s">
        <v>12</v>
      </c>
      <c r="I141" s="46"/>
      <c r="J141" s="62" t="s">
        <v>48</v>
      </c>
    </row>
    <row r="142" spans="1:10" x14ac:dyDescent="0.35">
      <c r="A142" s="43"/>
      <c r="B142" s="45"/>
      <c r="C142" s="7" t="s">
        <v>2</v>
      </c>
      <c r="D142" s="43"/>
      <c r="E142" s="43"/>
      <c r="F142" s="8"/>
      <c r="G142" s="7"/>
      <c r="H142" s="43"/>
      <c r="I142" s="47"/>
      <c r="J142" s="63"/>
    </row>
    <row r="143" spans="1:10" ht="6" customHeight="1" x14ac:dyDescent="0.35">
      <c r="A143" s="2"/>
      <c r="B143" s="2"/>
      <c r="C143" s="2"/>
      <c r="D143" s="28"/>
      <c r="E143" s="28"/>
      <c r="F143" s="2"/>
      <c r="G143" s="2"/>
      <c r="H143" s="2"/>
      <c r="I143" s="2"/>
      <c r="J143" s="2"/>
    </row>
    <row r="144" spans="1:10" x14ac:dyDescent="0.35">
      <c r="A144" s="42">
        <v>36</v>
      </c>
      <c r="B144" s="44">
        <v>43966</v>
      </c>
      <c r="C144" s="7" t="s">
        <v>1</v>
      </c>
      <c r="D144" s="42">
        <v>4484</v>
      </c>
      <c r="E144" s="42">
        <v>114</v>
      </c>
      <c r="F144" s="8"/>
      <c r="G144" s="7"/>
      <c r="H144" s="42" t="s">
        <v>28</v>
      </c>
      <c r="I144" s="46"/>
      <c r="J144" s="62" t="s">
        <v>48</v>
      </c>
    </row>
    <row r="145" spans="1:10" x14ac:dyDescent="0.35">
      <c r="A145" s="43"/>
      <c r="B145" s="45"/>
      <c r="C145" s="7" t="s">
        <v>2</v>
      </c>
      <c r="D145" s="43"/>
      <c r="E145" s="43"/>
      <c r="F145" s="8"/>
      <c r="G145" s="7"/>
      <c r="H145" s="43"/>
      <c r="I145" s="47"/>
      <c r="J145" s="63"/>
    </row>
    <row r="146" spans="1:10" ht="5.2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35">
      <c r="A147" s="42">
        <v>37</v>
      </c>
      <c r="B147" s="44">
        <v>43971</v>
      </c>
      <c r="C147" s="7" t="s">
        <v>1</v>
      </c>
      <c r="D147" s="42">
        <v>3520</v>
      </c>
      <c r="E147" s="42">
        <v>93</v>
      </c>
      <c r="F147" s="8"/>
      <c r="G147" s="7"/>
      <c r="H147" s="42" t="s">
        <v>36</v>
      </c>
      <c r="I147" s="46"/>
      <c r="J147" s="62" t="s">
        <v>48</v>
      </c>
    </row>
    <row r="148" spans="1:10" x14ac:dyDescent="0.35">
      <c r="A148" s="43"/>
      <c r="B148" s="45"/>
      <c r="C148" s="7" t="s">
        <v>2</v>
      </c>
      <c r="D148" s="43"/>
      <c r="E148" s="43"/>
      <c r="F148" s="8"/>
      <c r="G148" s="7"/>
      <c r="H148" s="43"/>
      <c r="I148" s="47"/>
      <c r="J148" s="63"/>
    </row>
    <row r="149" spans="1:10" ht="5.2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35">
      <c r="A150" s="42">
        <v>38</v>
      </c>
      <c r="B150" s="44">
        <v>43974</v>
      </c>
      <c r="C150" s="7" t="s">
        <v>1</v>
      </c>
      <c r="D150" s="42">
        <v>4133</v>
      </c>
      <c r="E150" s="42">
        <v>108</v>
      </c>
      <c r="F150" s="8"/>
      <c r="G150" s="7"/>
      <c r="H150" s="42" t="s">
        <v>49</v>
      </c>
      <c r="I150" s="46"/>
      <c r="J150" s="62" t="s">
        <v>48</v>
      </c>
    </row>
    <row r="151" spans="1:10" x14ac:dyDescent="0.35">
      <c r="A151" s="43"/>
      <c r="B151" s="45"/>
      <c r="C151" s="7" t="s">
        <v>2</v>
      </c>
      <c r="D151" s="43"/>
      <c r="E151" s="43"/>
      <c r="F151" s="8"/>
      <c r="G151" s="7"/>
      <c r="H151" s="43"/>
      <c r="I151" s="47"/>
      <c r="J151" s="63"/>
    </row>
    <row r="152" spans="1:10" ht="6" customHeight="1" x14ac:dyDescent="0.35">
      <c r="A152" s="2"/>
      <c r="B152" s="2"/>
      <c r="C152" s="2"/>
      <c r="D152" s="28"/>
      <c r="E152" s="28"/>
      <c r="F152" s="2"/>
      <c r="G152" s="2"/>
      <c r="H152" s="2"/>
      <c r="I152" s="2"/>
      <c r="J152" s="2"/>
    </row>
    <row r="153" spans="1:10" x14ac:dyDescent="0.35">
      <c r="A153" s="42">
        <v>39</v>
      </c>
      <c r="B153" s="44">
        <v>43978</v>
      </c>
      <c r="C153" s="7" t="s">
        <v>1</v>
      </c>
      <c r="D153" s="42">
        <v>211</v>
      </c>
      <c r="E153" s="42">
        <v>3</v>
      </c>
      <c r="F153" s="8"/>
      <c r="G153" s="7"/>
      <c r="H153" s="42" t="s">
        <v>50</v>
      </c>
      <c r="I153" s="46"/>
      <c r="J153" s="62" t="s">
        <v>48</v>
      </c>
    </row>
    <row r="154" spans="1:10" x14ac:dyDescent="0.35">
      <c r="A154" s="43"/>
      <c r="B154" s="45"/>
      <c r="C154" s="7" t="s">
        <v>2</v>
      </c>
      <c r="D154" s="43"/>
      <c r="E154" s="43"/>
      <c r="F154" s="8"/>
      <c r="G154" s="7"/>
      <c r="H154" s="43"/>
      <c r="I154" s="47"/>
      <c r="J154" s="63"/>
    </row>
    <row r="155" spans="1:10" ht="5.2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35">
      <c r="A156" s="42">
        <v>40</v>
      </c>
      <c r="B156" s="44">
        <v>43981</v>
      </c>
      <c r="C156" s="7" t="s">
        <v>1</v>
      </c>
      <c r="D156" s="42">
        <v>1963</v>
      </c>
      <c r="E156" s="42">
        <v>48</v>
      </c>
      <c r="F156" s="8"/>
      <c r="G156" s="7"/>
      <c r="H156" s="42" t="s">
        <v>15</v>
      </c>
      <c r="I156" s="46"/>
      <c r="J156" s="62" t="s">
        <v>48</v>
      </c>
    </row>
    <row r="157" spans="1:10" x14ac:dyDescent="0.35">
      <c r="A157" s="43"/>
      <c r="B157" s="45"/>
      <c r="C157" s="7" t="s">
        <v>2</v>
      </c>
      <c r="D157" s="43"/>
      <c r="E157" s="43"/>
      <c r="F157" s="8"/>
      <c r="G157" s="7"/>
      <c r="H157" s="43"/>
      <c r="I157" s="47"/>
      <c r="J157" s="63"/>
    </row>
    <row r="158" spans="1:10" ht="5.25" customHeight="1" x14ac:dyDescent="0.35"/>
    <row r="159" spans="1:10" ht="15" customHeight="1" x14ac:dyDescent="0.35">
      <c r="A159" s="50"/>
      <c r="B159" s="52" t="s">
        <v>51</v>
      </c>
      <c r="C159" s="11" t="s">
        <v>1</v>
      </c>
      <c r="D159" s="50">
        <f>(D135+D138+D141+D144+D147+D150+D153+D156)</f>
        <v>34008</v>
      </c>
      <c r="E159" s="50">
        <f>(E135+E138+E141+E144+E147+E150+E153+E156)</f>
        <v>880</v>
      </c>
      <c r="F159" s="10"/>
      <c r="G159" s="10"/>
      <c r="H159" s="50" t="s">
        <v>52</v>
      </c>
      <c r="I159" s="54"/>
      <c r="J159" s="56"/>
    </row>
    <row r="160" spans="1:10" x14ac:dyDescent="0.35">
      <c r="A160" s="51"/>
      <c r="B160" s="53"/>
      <c r="C160" s="11" t="s">
        <v>2</v>
      </c>
      <c r="D160" s="51"/>
      <c r="E160" s="51"/>
      <c r="F160" s="10"/>
      <c r="G160" s="10"/>
      <c r="H160" s="51"/>
      <c r="I160" s="55"/>
      <c r="J160" s="57"/>
    </row>
    <row r="161" spans="1:10" ht="5.2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x14ac:dyDescent="0.35">
      <c r="A162" s="42">
        <v>41</v>
      </c>
      <c r="B162" s="44">
        <v>43987</v>
      </c>
      <c r="C162" s="7" t="s">
        <v>1</v>
      </c>
      <c r="D162" s="42">
        <v>3046</v>
      </c>
      <c r="E162" s="42">
        <v>92</v>
      </c>
      <c r="F162" s="8"/>
      <c r="G162" s="7"/>
      <c r="H162" s="42" t="s">
        <v>36</v>
      </c>
      <c r="I162" s="46"/>
      <c r="J162" s="62" t="s">
        <v>48</v>
      </c>
    </row>
    <row r="163" spans="1:10" x14ac:dyDescent="0.35">
      <c r="A163" s="43"/>
      <c r="B163" s="45"/>
      <c r="C163" s="7" t="s">
        <v>2</v>
      </c>
      <c r="D163" s="43"/>
      <c r="E163" s="43"/>
      <c r="F163" s="8"/>
      <c r="G163" s="7"/>
      <c r="H163" s="43"/>
      <c r="I163" s="47"/>
      <c r="J163" s="63"/>
    </row>
    <row r="164" spans="1:10" ht="5.2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x14ac:dyDescent="0.35">
      <c r="A165" s="42">
        <v>42</v>
      </c>
      <c r="B165" s="44">
        <v>43990</v>
      </c>
      <c r="C165" s="7" t="s">
        <v>1</v>
      </c>
      <c r="D165" s="42">
        <v>1589</v>
      </c>
      <c r="E165" s="42">
        <v>40</v>
      </c>
      <c r="F165" s="8"/>
      <c r="G165" s="7"/>
      <c r="H165" s="42" t="s">
        <v>40</v>
      </c>
      <c r="I165" s="46"/>
      <c r="J165" s="62" t="s">
        <v>48</v>
      </c>
    </row>
    <row r="166" spans="1:10" x14ac:dyDescent="0.35">
      <c r="A166" s="43"/>
      <c r="B166" s="45"/>
      <c r="C166" s="7" t="s">
        <v>2</v>
      </c>
      <c r="D166" s="43"/>
      <c r="E166" s="43"/>
      <c r="F166" s="8"/>
      <c r="G166" s="7"/>
      <c r="H166" s="43"/>
      <c r="I166" s="47"/>
      <c r="J166" s="63"/>
    </row>
    <row r="167" spans="1:10" ht="6" customHeight="1" x14ac:dyDescent="0.35">
      <c r="A167" s="2"/>
      <c r="B167" s="2"/>
      <c r="C167" s="2"/>
      <c r="D167" s="28"/>
      <c r="E167" s="28"/>
      <c r="F167" s="2"/>
      <c r="G167" s="2"/>
      <c r="H167" s="2"/>
      <c r="I167" s="2"/>
      <c r="J167" s="2"/>
    </row>
    <row r="168" spans="1:10" x14ac:dyDescent="0.35">
      <c r="A168" s="42">
        <v>43</v>
      </c>
      <c r="B168" s="44">
        <v>43998</v>
      </c>
      <c r="C168" s="7" t="s">
        <v>1</v>
      </c>
      <c r="D168" s="42">
        <v>2430</v>
      </c>
      <c r="E168" s="42">
        <v>58</v>
      </c>
      <c r="F168" s="8"/>
      <c r="G168" s="7"/>
      <c r="H168" s="42" t="s">
        <v>3</v>
      </c>
      <c r="I168" s="46"/>
      <c r="J168" s="62" t="s">
        <v>48</v>
      </c>
    </row>
    <row r="169" spans="1:10" x14ac:dyDescent="0.35">
      <c r="A169" s="43"/>
      <c r="B169" s="45"/>
      <c r="C169" s="7" t="s">
        <v>2</v>
      </c>
      <c r="D169" s="43"/>
      <c r="E169" s="43"/>
      <c r="F169" s="8"/>
      <c r="G169" s="7"/>
      <c r="H169" s="43"/>
      <c r="I169" s="47"/>
      <c r="J169" s="63"/>
    </row>
    <row r="170" spans="1:10" ht="5.2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x14ac:dyDescent="0.35">
      <c r="A171" s="42">
        <v>44</v>
      </c>
      <c r="B171" s="44">
        <v>44001</v>
      </c>
      <c r="C171" s="7" t="s">
        <v>1</v>
      </c>
      <c r="D171" s="42">
        <v>304</v>
      </c>
      <c r="E171" s="42">
        <v>9</v>
      </c>
      <c r="F171" s="8"/>
      <c r="G171" s="7"/>
      <c r="H171" s="42" t="s">
        <v>11</v>
      </c>
      <c r="I171" s="46"/>
      <c r="J171" s="62" t="s">
        <v>48</v>
      </c>
    </row>
    <row r="172" spans="1:10" x14ac:dyDescent="0.35">
      <c r="A172" s="43"/>
      <c r="B172" s="45"/>
      <c r="C172" s="7" t="s">
        <v>2</v>
      </c>
      <c r="D172" s="43"/>
      <c r="E172" s="43"/>
      <c r="F172" s="8"/>
      <c r="G172" s="7"/>
      <c r="H172" s="43"/>
      <c r="I172" s="47"/>
      <c r="J172" s="63"/>
    </row>
    <row r="173" spans="1:10" ht="5.25" customHeight="1" x14ac:dyDescent="0.35"/>
    <row r="174" spans="1:10" ht="15" customHeight="1" x14ac:dyDescent="0.35">
      <c r="A174" s="50"/>
      <c r="B174" s="52" t="s">
        <v>54</v>
      </c>
      <c r="C174" s="11" t="s">
        <v>1</v>
      </c>
      <c r="D174" s="50">
        <f>(D162+D165+D168+D171)</f>
        <v>7369</v>
      </c>
      <c r="E174" s="50">
        <f>(E162+E165+E168+E171)</f>
        <v>199</v>
      </c>
      <c r="F174" s="10"/>
      <c r="G174" s="10"/>
      <c r="H174" s="50" t="s">
        <v>53</v>
      </c>
      <c r="I174" s="54"/>
      <c r="J174" s="56"/>
    </row>
    <row r="175" spans="1:10" x14ac:dyDescent="0.35">
      <c r="A175" s="51"/>
      <c r="B175" s="53"/>
      <c r="C175" s="11" t="s">
        <v>2</v>
      </c>
      <c r="D175" s="51"/>
      <c r="E175" s="51"/>
      <c r="F175" s="10"/>
      <c r="G175" s="10"/>
      <c r="H175" s="51"/>
      <c r="I175" s="55"/>
      <c r="J175" s="57"/>
    </row>
    <row r="176" spans="1:10" ht="5.2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x14ac:dyDescent="0.35">
      <c r="A177" s="42">
        <v>45</v>
      </c>
      <c r="B177" s="44">
        <v>44020</v>
      </c>
      <c r="C177" s="7" t="s">
        <v>1</v>
      </c>
      <c r="D177" s="34">
        <f>1161+F177</f>
        <v>2485</v>
      </c>
      <c r="E177" s="32">
        <v>60</v>
      </c>
      <c r="F177" s="32">
        <v>1324</v>
      </c>
      <c r="G177" s="32">
        <v>35</v>
      </c>
      <c r="H177" s="42" t="s">
        <v>36</v>
      </c>
      <c r="I177" s="46" t="s">
        <v>8</v>
      </c>
      <c r="J177" s="60"/>
    </row>
    <row r="178" spans="1:10" x14ac:dyDescent="0.35">
      <c r="A178" s="43"/>
      <c r="B178" s="45"/>
      <c r="C178" s="7" t="s">
        <v>2</v>
      </c>
      <c r="D178" s="34">
        <f>7578+F178</f>
        <v>8339</v>
      </c>
      <c r="E178" s="32">
        <v>197</v>
      </c>
      <c r="F178" s="32">
        <v>761</v>
      </c>
      <c r="G178" s="32">
        <v>18</v>
      </c>
      <c r="H178" s="43"/>
      <c r="I178" s="47"/>
      <c r="J178" s="61"/>
    </row>
    <row r="179" spans="1:10" ht="5.25" customHeight="1" x14ac:dyDescent="0.35">
      <c r="A179" s="2"/>
      <c r="B179" s="2"/>
      <c r="C179" s="2"/>
      <c r="D179" s="35"/>
      <c r="E179" s="33"/>
      <c r="F179" s="33"/>
      <c r="G179" s="33"/>
      <c r="H179" s="2"/>
      <c r="I179" s="2"/>
      <c r="J179" s="7"/>
    </row>
    <row r="180" spans="1:10" x14ac:dyDescent="0.35">
      <c r="A180" s="42">
        <v>56</v>
      </c>
      <c r="B180" s="44">
        <v>44028</v>
      </c>
      <c r="C180" s="7" t="s">
        <v>1</v>
      </c>
      <c r="D180" s="34">
        <f>620+F180</f>
        <v>1804</v>
      </c>
      <c r="E180" s="32">
        <v>45</v>
      </c>
      <c r="F180" s="32">
        <f>46+39+41+50+65+41+31+50+49+42+48+35+55+54+77+43+38+46+34+29+21+26+25+25+25+26+26+26+24+17+15+15</f>
        <v>1184</v>
      </c>
      <c r="G180" s="32">
        <v>32</v>
      </c>
      <c r="H180" s="42" t="s">
        <v>9</v>
      </c>
      <c r="I180" s="46" t="s">
        <v>8</v>
      </c>
      <c r="J180" s="60"/>
    </row>
    <row r="181" spans="1:10" x14ac:dyDescent="0.35">
      <c r="A181" s="43"/>
      <c r="B181" s="45"/>
      <c r="C181" s="7" t="s">
        <v>2</v>
      </c>
      <c r="D181" s="34">
        <f>3184+F181</f>
        <v>3983</v>
      </c>
      <c r="E181" s="32">
        <v>85</v>
      </c>
      <c r="F181" s="32">
        <v>799</v>
      </c>
      <c r="G181" s="32">
        <v>20</v>
      </c>
      <c r="H181" s="43"/>
      <c r="I181" s="47"/>
      <c r="J181" s="61"/>
    </row>
    <row r="182" spans="1:10" ht="6" customHeight="1" x14ac:dyDescent="0.35">
      <c r="A182" s="2"/>
      <c r="B182" s="2"/>
      <c r="C182" s="2"/>
      <c r="D182" s="35"/>
      <c r="E182" s="33"/>
      <c r="F182" s="33"/>
      <c r="G182" s="33"/>
      <c r="H182" s="2"/>
      <c r="I182" s="2"/>
      <c r="J182" s="7"/>
    </row>
    <row r="183" spans="1:10" x14ac:dyDescent="0.35">
      <c r="A183" s="42">
        <v>47</v>
      </c>
      <c r="B183" s="44">
        <v>44034</v>
      </c>
      <c r="C183" s="7" t="s">
        <v>1</v>
      </c>
      <c r="D183" s="34">
        <f>822+561</f>
        <v>1383</v>
      </c>
      <c r="E183" s="32">
        <v>32</v>
      </c>
      <c r="F183" s="32">
        <v>561</v>
      </c>
      <c r="G183" s="32">
        <v>16</v>
      </c>
      <c r="H183" s="42" t="s">
        <v>27</v>
      </c>
      <c r="I183" s="46" t="s">
        <v>8</v>
      </c>
      <c r="J183" s="48" t="s">
        <v>59</v>
      </c>
    </row>
    <row r="184" spans="1:10" x14ac:dyDescent="0.35">
      <c r="A184" s="43"/>
      <c r="B184" s="45"/>
      <c r="C184" s="7" t="s">
        <v>2</v>
      </c>
      <c r="D184" s="34">
        <f>4111+F184</f>
        <v>4165</v>
      </c>
      <c r="E184" s="32">
        <v>95</v>
      </c>
      <c r="F184" s="32">
        <v>54</v>
      </c>
      <c r="G184" s="32">
        <v>2</v>
      </c>
      <c r="H184" s="43"/>
      <c r="I184" s="47"/>
      <c r="J184" s="49"/>
    </row>
    <row r="185" spans="1:10" ht="5.25" customHeight="1" x14ac:dyDescent="0.35">
      <c r="A185" s="2"/>
      <c r="B185" s="2"/>
      <c r="C185" s="2"/>
      <c r="D185" s="35"/>
      <c r="E185" s="33"/>
      <c r="F185" s="33"/>
      <c r="G185" s="33"/>
      <c r="H185" s="2"/>
      <c r="I185" s="2"/>
      <c r="J185" s="7"/>
    </row>
    <row r="186" spans="1:10" x14ac:dyDescent="0.35">
      <c r="A186" s="42">
        <v>48</v>
      </c>
      <c r="B186" s="44">
        <v>44035</v>
      </c>
      <c r="C186" s="7" t="s">
        <v>1</v>
      </c>
      <c r="D186" s="34">
        <f>1126+F186</f>
        <v>2584</v>
      </c>
      <c r="E186" s="32">
        <f>21+G186</f>
        <v>55</v>
      </c>
      <c r="F186" s="32">
        <v>1458</v>
      </c>
      <c r="G186" s="32">
        <v>34</v>
      </c>
      <c r="H186" s="42" t="s">
        <v>9</v>
      </c>
      <c r="I186" s="46" t="s">
        <v>8</v>
      </c>
      <c r="J186" s="48" t="s">
        <v>58</v>
      </c>
    </row>
    <row r="187" spans="1:10" x14ac:dyDescent="0.35">
      <c r="A187" s="43"/>
      <c r="B187" s="45"/>
      <c r="C187" s="7" t="s">
        <v>2</v>
      </c>
      <c r="D187" s="34">
        <f>5333+F187</f>
        <v>6278</v>
      </c>
      <c r="E187" s="32">
        <f>118+G187</f>
        <v>137</v>
      </c>
      <c r="F187" s="32">
        <v>945</v>
      </c>
      <c r="G187" s="32">
        <v>19</v>
      </c>
      <c r="H187" s="43"/>
      <c r="I187" s="47"/>
      <c r="J187" s="49"/>
    </row>
    <row r="188" spans="1:10" ht="5.25" customHeight="1" x14ac:dyDescent="0.35">
      <c r="D188" s="35"/>
      <c r="E188" s="33"/>
      <c r="F188" s="36"/>
      <c r="G188" s="36"/>
      <c r="J188" s="38"/>
    </row>
    <row r="189" spans="1:10" x14ac:dyDescent="0.35">
      <c r="A189" s="42">
        <v>49</v>
      </c>
      <c r="B189" s="44">
        <v>44039</v>
      </c>
      <c r="C189" s="7" t="s">
        <v>1</v>
      </c>
      <c r="D189" s="92">
        <v>6458</v>
      </c>
      <c r="E189" s="90">
        <v>154</v>
      </c>
      <c r="F189" s="32">
        <v>1623</v>
      </c>
      <c r="G189" s="32">
        <v>39</v>
      </c>
      <c r="H189" s="42" t="s">
        <v>27</v>
      </c>
      <c r="I189" s="46" t="s">
        <v>8</v>
      </c>
      <c r="J189" s="48" t="s">
        <v>55</v>
      </c>
    </row>
    <row r="190" spans="1:10" x14ac:dyDescent="0.35">
      <c r="A190" s="43"/>
      <c r="B190" s="45"/>
      <c r="C190" s="7" t="s">
        <v>2</v>
      </c>
      <c r="D190" s="93"/>
      <c r="E190" s="91"/>
      <c r="F190" s="32">
        <v>663</v>
      </c>
      <c r="G190" s="32">
        <v>17</v>
      </c>
      <c r="H190" s="43"/>
      <c r="I190" s="47"/>
      <c r="J190" s="49"/>
    </row>
    <row r="191" spans="1:10" ht="5.25" customHeight="1" x14ac:dyDescent="0.35">
      <c r="A191" s="2"/>
      <c r="B191" s="2"/>
      <c r="C191" s="2"/>
      <c r="D191" s="35"/>
      <c r="E191" s="33"/>
      <c r="F191" s="33"/>
      <c r="G191" s="33"/>
      <c r="H191" s="2"/>
      <c r="I191" s="2"/>
      <c r="J191" s="39"/>
    </row>
    <row r="192" spans="1:10" x14ac:dyDescent="0.35">
      <c r="A192" s="42">
        <v>50</v>
      </c>
      <c r="B192" s="44">
        <v>44040</v>
      </c>
      <c r="C192" s="7" t="s">
        <v>1</v>
      </c>
      <c r="D192" s="34">
        <f>1675+F192</f>
        <v>3425</v>
      </c>
      <c r="E192" s="32">
        <f>32+G192</f>
        <v>71</v>
      </c>
      <c r="F192" s="32">
        <v>1750</v>
      </c>
      <c r="G192" s="32">
        <v>39</v>
      </c>
      <c r="H192" s="42" t="s">
        <v>10</v>
      </c>
      <c r="I192" s="46" t="s">
        <v>8</v>
      </c>
      <c r="J192" s="60"/>
    </row>
    <row r="193" spans="1:10" x14ac:dyDescent="0.35">
      <c r="A193" s="43"/>
      <c r="B193" s="45"/>
      <c r="C193" s="7" t="s">
        <v>2</v>
      </c>
      <c r="D193" s="34">
        <f>3402+F193</f>
        <v>4264</v>
      </c>
      <c r="E193" s="32">
        <f>75+G193</f>
        <v>98</v>
      </c>
      <c r="F193" s="32">
        <v>862</v>
      </c>
      <c r="G193" s="32">
        <v>23</v>
      </c>
      <c r="H193" s="43"/>
      <c r="I193" s="47"/>
      <c r="J193" s="61"/>
    </row>
    <row r="194" spans="1:10" ht="6" customHeight="1" x14ac:dyDescent="0.35">
      <c r="A194" s="2"/>
      <c r="B194" s="2"/>
      <c r="C194" s="2"/>
      <c r="D194" s="35"/>
      <c r="E194" s="33"/>
      <c r="F194" s="33"/>
      <c r="G194" s="33"/>
      <c r="H194" s="2"/>
      <c r="I194" s="2"/>
      <c r="J194" s="2"/>
    </row>
    <row r="195" spans="1:10" ht="15" customHeight="1" x14ac:dyDescent="0.35">
      <c r="A195" s="50"/>
      <c r="B195" s="52" t="s">
        <v>57</v>
      </c>
      <c r="C195" s="11" t="s">
        <v>1</v>
      </c>
      <c r="D195" s="86">
        <f>(D177+D178+D180+D181+D183+D184+D186+D187+D189+D192+D193)</f>
        <v>45168</v>
      </c>
      <c r="E195" s="88">
        <f>(E177+E178+E180+E181+E183+E184+E186+E187+E189+E192+E193)</f>
        <v>1029</v>
      </c>
      <c r="F195" s="37">
        <f>(F177+F180+F183+F186+F189+F192)</f>
        <v>7900</v>
      </c>
      <c r="G195" s="37">
        <f>(G177+G180+G183+G186+G189+G192)</f>
        <v>195</v>
      </c>
      <c r="H195" s="50" t="s">
        <v>56</v>
      </c>
      <c r="I195" s="54"/>
      <c r="J195" s="56"/>
    </row>
    <row r="196" spans="1:10" x14ac:dyDescent="0.35">
      <c r="A196" s="51"/>
      <c r="B196" s="53"/>
      <c r="C196" s="11" t="s">
        <v>2</v>
      </c>
      <c r="D196" s="87"/>
      <c r="E196" s="89"/>
      <c r="F196" s="37">
        <f>(F178+F181+F184+F187+F190+F193)</f>
        <v>4084</v>
      </c>
      <c r="G196" s="37">
        <f>(G178+G181+G184+G187+G190+G193)</f>
        <v>99</v>
      </c>
      <c r="H196" s="51"/>
      <c r="I196" s="55"/>
      <c r="J196" s="57"/>
    </row>
    <row r="197" spans="1:10" ht="5.2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x14ac:dyDescent="0.35">
      <c r="A198" s="42">
        <v>51</v>
      </c>
      <c r="B198" s="44">
        <v>44044</v>
      </c>
      <c r="C198" s="7" t="s">
        <v>1</v>
      </c>
      <c r="D198" s="34">
        <f>1435+F198</f>
        <v>1839</v>
      </c>
      <c r="E198" s="32">
        <f>31+G198</f>
        <v>42</v>
      </c>
      <c r="F198" s="32">
        <v>404</v>
      </c>
      <c r="G198" s="32">
        <v>11</v>
      </c>
      <c r="H198" s="42" t="s">
        <v>14</v>
      </c>
      <c r="I198" s="46" t="s">
        <v>8</v>
      </c>
      <c r="J198" s="60"/>
    </row>
    <row r="199" spans="1:10" x14ac:dyDescent="0.35">
      <c r="A199" s="43"/>
      <c r="B199" s="45"/>
      <c r="C199" s="7" t="s">
        <v>2</v>
      </c>
      <c r="D199" s="34">
        <f>1971+F199</f>
        <v>2536</v>
      </c>
      <c r="E199" s="32">
        <f>48+G199</f>
        <v>64</v>
      </c>
      <c r="F199" s="32">
        <v>565</v>
      </c>
      <c r="G199" s="32">
        <v>16</v>
      </c>
      <c r="H199" s="43"/>
      <c r="I199" s="47"/>
      <c r="J199" s="61"/>
    </row>
    <row r="200" spans="1:10" ht="5.25" customHeight="1" x14ac:dyDescent="0.35">
      <c r="A200" s="2"/>
      <c r="B200" s="2"/>
      <c r="C200" s="2"/>
      <c r="D200" s="35"/>
      <c r="E200" s="33"/>
      <c r="F200" s="33"/>
      <c r="G200" s="33"/>
      <c r="H200" s="2"/>
      <c r="I200" s="2"/>
      <c r="J200" s="7"/>
    </row>
    <row r="201" spans="1:10" x14ac:dyDescent="0.35">
      <c r="A201" s="42">
        <v>52</v>
      </c>
      <c r="B201" s="44">
        <v>44047</v>
      </c>
      <c r="C201" s="7" t="s">
        <v>1</v>
      </c>
      <c r="D201" s="34">
        <f>1815+F201</f>
        <v>3282</v>
      </c>
      <c r="E201" s="32">
        <f>40+G201</f>
        <v>72</v>
      </c>
      <c r="F201" s="32">
        <v>1467</v>
      </c>
      <c r="G201" s="32">
        <v>32</v>
      </c>
      <c r="H201" s="42" t="s">
        <v>10</v>
      </c>
      <c r="I201" s="46" t="s">
        <v>8</v>
      </c>
      <c r="J201" s="60"/>
    </row>
    <row r="202" spans="1:10" x14ac:dyDescent="0.35">
      <c r="A202" s="43"/>
      <c r="B202" s="45"/>
      <c r="C202" s="7" t="s">
        <v>2</v>
      </c>
      <c r="D202" s="34">
        <f>5142+F202</f>
        <v>6210</v>
      </c>
      <c r="E202" s="32">
        <f>116+G202</f>
        <v>143</v>
      </c>
      <c r="F202" s="32">
        <v>1068</v>
      </c>
      <c r="G202" s="32">
        <v>27</v>
      </c>
      <c r="H202" s="43"/>
      <c r="I202" s="47"/>
      <c r="J202" s="61"/>
    </row>
    <row r="203" spans="1:10" ht="6" customHeight="1" x14ac:dyDescent="0.35">
      <c r="A203" s="2"/>
      <c r="B203" s="2"/>
      <c r="C203" s="2"/>
      <c r="D203" s="35"/>
      <c r="E203" s="33"/>
      <c r="F203" s="33"/>
      <c r="G203" s="33"/>
      <c r="H203" s="2"/>
      <c r="I203" s="2"/>
      <c r="J203" s="7"/>
    </row>
    <row r="204" spans="1:10" x14ac:dyDescent="0.35">
      <c r="A204" s="42">
        <v>53</v>
      </c>
      <c r="B204" s="44">
        <v>44051</v>
      </c>
      <c r="C204" s="7" t="s">
        <v>1</v>
      </c>
      <c r="D204" s="34">
        <f>819+F204</f>
        <v>1135</v>
      </c>
      <c r="E204" s="32">
        <f>17+G204</f>
        <v>28</v>
      </c>
      <c r="F204" s="32">
        <v>316</v>
      </c>
      <c r="G204" s="32">
        <v>11</v>
      </c>
      <c r="H204" s="42" t="s">
        <v>14</v>
      </c>
      <c r="I204" s="46" t="s">
        <v>8</v>
      </c>
      <c r="J204" s="48"/>
    </row>
    <row r="205" spans="1:10" x14ac:dyDescent="0.35">
      <c r="A205" s="43"/>
      <c r="B205" s="45"/>
      <c r="C205" s="7" t="s">
        <v>2</v>
      </c>
      <c r="D205" s="34">
        <f>3463+F205</f>
        <v>3844</v>
      </c>
      <c r="E205" s="32">
        <f>77+G205</f>
        <v>85</v>
      </c>
      <c r="F205" s="32">
        <v>381</v>
      </c>
      <c r="G205" s="32">
        <v>8</v>
      </c>
      <c r="H205" s="43"/>
      <c r="I205" s="47"/>
      <c r="J205" s="49"/>
    </row>
    <row r="206" spans="1:10" ht="5.25" customHeight="1" x14ac:dyDescent="0.35">
      <c r="A206" s="2"/>
      <c r="B206" s="2"/>
      <c r="C206" s="2"/>
      <c r="D206" s="35"/>
      <c r="E206" s="33"/>
      <c r="F206" s="33"/>
      <c r="G206" s="33"/>
      <c r="H206" s="2"/>
      <c r="I206" s="2"/>
      <c r="J206" s="7"/>
    </row>
    <row r="207" spans="1:10" ht="13.5" customHeight="1" x14ac:dyDescent="0.35">
      <c r="A207" s="42">
        <v>54</v>
      </c>
      <c r="B207" s="44">
        <v>44053</v>
      </c>
      <c r="C207" s="7" t="s">
        <v>1</v>
      </c>
      <c r="D207" s="34">
        <f>1023+F207+325</f>
        <v>1642</v>
      </c>
      <c r="E207" s="32">
        <f>24+G207+7</f>
        <v>40</v>
      </c>
      <c r="F207" s="32">
        <v>294</v>
      </c>
      <c r="G207" s="32">
        <v>9</v>
      </c>
      <c r="H207" s="42" t="s">
        <v>61</v>
      </c>
      <c r="I207" s="46" t="s">
        <v>8</v>
      </c>
      <c r="J207" s="48" t="s">
        <v>62</v>
      </c>
    </row>
    <row r="208" spans="1:10" x14ac:dyDescent="0.35">
      <c r="A208" s="43"/>
      <c r="B208" s="45"/>
      <c r="C208" s="7" t="s">
        <v>2</v>
      </c>
      <c r="D208" s="34">
        <f>5666+F208+412</f>
        <v>6383</v>
      </c>
      <c r="E208" s="32">
        <f>128+G208+11</f>
        <v>150</v>
      </c>
      <c r="F208" s="32">
        <v>305</v>
      </c>
      <c r="G208" s="32">
        <v>11</v>
      </c>
      <c r="H208" s="43"/>
      <c r="I208" s="47"/>
      <c r="J208" s="49"/>
    </row>
    <row r="209" spans="1:10" ht="5.25" customHeight="1" x14ac:dyDescent="0.35">
      <c r="D209" s="35"/>
      <c r="E209" s="33"/>
      <c r="F209" s="36"/>
      <c r="G209" s="36"/>
      <c r="J209" s="38"/>
    </row>
    <row r="210" spans="1:10" x14ac:dyDescent="0.35">
      <c r="A210" s="42">
        <v>55</v>
      </c>
      <c r="B210" s="44">
        <v>44054</v>
      </c>
      <c r="C210" s="7" t="s">
        <v>1</v>
      </c>
      <c r="D210" s="34">
        <f>368</f>
        <v>368</v>
      </c>
      <c r="E210" s="32">
        <v>8</v>
      </c>
      <c r="F210" s="32">
        <v>326</v>
      </c>
      <c r="G210" s="32">
        <v>7</v>
      </c>
      <c r="H210" s="42" t="s">
        <v>15</v>
      </c>
      <c r="I210" s="46" t="s">
        <v>8</v>
      </c>
      <c r="J210" s="48" t="s">
        <v>63</v>
      </c>
    </row>
    <row r="211" spans="1:10" x14ac:dyDescent="0.35">
      <c r="A211" s="43"/>
      <c r="B211" s="45"/>
      <c r="C211" s="7" t="s">
        <v>2</v>
      </c>
      <c r="D211" s="34">
        <f>1782+72</f>
        <v>1854</v>
      </c>
      <c r="E211" s="32">
        <f>48+4</f>
        <v>52</v>
      </c>
      <c r="F211" s="32">
        <v>484</v>
      </c>
      <c r="G211" s="32">
        <v>15</v>
      </c>
      <c r="H211" s="43"/>
      <c r="I211" s="47"/>
      <c r="J211" s="49"/>
    </row>
    <row r="212" spans="1:10" ht="5.25" customHeight="1" x14ac:dyDescent="0.35">
      <c r="A212" s="2"/>
      <c r="B212" s="2"/>
      <c r="C212" s="2"/>
      <c r="D212" s="35"/>
      <c r="E212" s="33"/>
      <c r="F212" s="33"/>
      <c r="G212" s="33"/>
      <c r="H212" s="2"/>
      <c r="I212" s="2"/>
      <c r="J212" s="39"/>
    </row>
    <row r="213" spans="1:10" x14ac:dyDescent="0.35">
      <c r="A213" s="42">
        <v>56</v>
      </c>
      <c r="B213" s="44">
        <v>44061</v>
      </c>
      <c r="C213" s="7" t="s">
        <v>1</v>
      </c>
      <c r="D213" s="34">
        <f>241+F213</f>
        <v>1028</v>
      </c>
      <c r="E213" s="32">
        <f>8+G213</f>
        <v>25</v>
      </c>
      <c r="F213" s="32">
        <v>787</v>
      </c>
      <c r="G213" s="32">
        <v>17</v>
      </c>
      <c r="H213" s="42" t="s">
        <v>27</v>
      </c>
      <c r="I213" s="46" t="s">
        <v>8</v>
      </c>
      <c r="J213" s="60"/>
    </row>
    <row r="214" spans="1:10" x14ac:dyDescent="0.35">
      <c r="A214" s="43"/>
      <c r="B214" s="45"/>
      <c r="C214" s="7" t="s">
        <v>2</v>
      </c>
      <c r="D214" s="34">
        <f>5117+F214</f>
        <v>5848</v>
      </c>
      <c r="E214" s="32">
        <f>108+G214</f>
        <v>125</v>
      </c>
      <c r="F214" s="32">
        <v>731</v>
      </c>
      <c r="G214" s="32">
        <v>17</v>
      </c>
      <c r="H214" s="43"/>
      <c r="I214" s="47"/>
      <c r="J214" s="61"/>
    </row>
    <row r="215" spans="1:10" ht="5.25" customHeight="1" x14ac:dyDescent="0.35">
      <c r="A215" s="2"/>
      <c r="B215" s="2"/>
      <c r="C215" s="2"/>
      <c r="D215" s="35"/>
      <c r="E215" s="33"/>
      <c r="F215" s="33"/>
      <c r="G215" s="33"/>
      <c r="H215" s="2"/>
      <c r="I215" s="2"/>
      <c r="J215" s="7"/>
    </row>
    <row r="216" spans="1:10" x14ac:dyDescent="0.35">
      <c r="A216" s="42">
        <v>57</v>
      </c>
      <c r="B216" s="44">
        <v>44063</v>
      </c>
      <c r="C216" s="7" t="s">
        <v>1</v>
      </c>
      <c r="D216" s="34">
        <f>772+F216</f>
        <v>1387</v>
      </c>
      <c r="E216" s="32">
        <f>22+G216</f>
        <v>40</v>
      </c>
      <c r="F216" s="32">
        <v>615</v>
      </c>
      <c r="G216" s="32">
        <v>18</v>
      </c>
      <c r="H216" s="42" t="s">
        <v>9</v>
      </c>
      <c r="I216" s="46" t="s">
        <v>8</v>
      </c>
      <c r="J216" s="48"/>
    </row>
    <row r="217" spans="1:10" x14ac:dyDescent="0.35">
      <c r="A217" s="43"/>
      <c r="B217" s="45"/>
      <c r="C217" s="7" t="s">
        <v>2</v>
      </c>
      <c r="D217" s="34">
        <f>5635+F217</f>
        <v>6077</v>
      </c>
      <c r="E217" s="32">
        <f>116+G217</f>
        <v>129</v>
      </c>
      <c r="F217" s="32">
        <v>442</v>
      </c>
      <c r="G217" s="32">
        <v>13</v>
      </c>
      <c r="H217" s="43"/>
      <c r="I217" s="47"/>
      <c r="J217" s="49"/>
    </row>
    <row r="218" spans="1:10" ht="5.25" customHeight="1" x14ac:dyDescent="0.35">
      <c r="D218" s="35"/>
      <c r="E218" s="33"/>
      <c r="F218" s="36"/>
      <c r="G218" s="36"/>
      <c r="J218" s="38"/>
    </row>
    <row r="219" spans="1:10" x14ac:dyDescent="0.35">
      <c r="A219" s="42">
        <v>58</v>
      </c>
      <c r="B219" s="44">
        <v>44065</v>
      </c>
      <c r="C219" s="7" t="s">
        <v>1</v>
      </c>
      <c r="D219" s="34">
        <f>757+F219</f>
        <v>1268</v>
      </c>
      <c r="E219" s="32">
        <f>19+G219</f>
        <v>32</v>
      </c>
      <c r="F219" s="32">
        <v>511</v>
      </c>
      <c r="G219" s="32">
        <v>13</v>
      </c>
      <c r="H219" s="42" t="s">
        <v>11</v>
      </c>
      <c r="I219" s="46" t="s">
        <v>8</v>
      </c>
      <c r="J219" s="48"/>
    </row>
    <row r="220" spans="1:10" x14ac:dyDescent="0.35">
      <c r="A220" s="43"/>
      <c r="B220" s="45"/>
      <c r="C220" s="7" t="s">
        <v>2</v>
      </c>
      <c r="D220" s="34">
        <f>6128+F220</f>
        <v>6462</v>
      </c>
      <c r="E220" s="32">
        <f>121+G220</f>
        <v>132</v>
      </c>
      <c r="F220" s="32">
        <v>334</v>
      </c>
      <c r="G220" s="32">
        <v>11</v>
      </c>
      <c r="H220" s="43"/>
      <c r="I220" s="47"/>
      <c r="J220" s="49"/>
    </row>
    <row r="221" spans="1:10" ht="5.25" customHeight="1" x14ac:dyDescent="0.35">
      <c r="A221" s="2"/>
      <c r="B221" s="2"/>
      <c r="C221" s="2"/>
      <c r="D221" s="35"/>
      <c r="E221" s="33"/>
      <c r="F221" s="33"/>
      <c r="G221" s="33"/>
      <c r="H221" s="2"/>
      <c r="I221" s="2"/>
      <c r="J221" s="39"/>
    </row>
    <row r="222" spans="1:10" ht="15" customHeight="1" x14ac:dyDescent="0.35">
      <c r="A222" s="50"/>
      <c r="B222" s="52" t="s">
        <v>60</v>
      </c>
      <c r="C222" s="11" t="s">
        <v>1</v>
      </c>
      <c r="D222" s="37">
        <f>SUM(D198,D201,D204,D207,D210,D213,D216,D219)</f>
        <v>11949</v>
      </c>
      <c r="E222" s="37">
        <f>SUM(E198,E201,E204,E207,E210,E213,E216,E219)</f>
        <v>287</v>
      </c>
      <c r="F222" s="37">
        <f t="shared" ref="F222" si="0">SUM(F198,F201,F204,F207,F210,F213,F216,F219)</f>
        <v>4720</v>
      </c>
      <c r="G222" s="37">
        <f>SUM(G198,G201,G204,G207,G210,G213,G216,G219)</f>
        <v>118</v>
      </c>
      <c r="H222" s="50" t="s">
        <v>56</v>
      </c>
      <c r="I222" s="54" t="s">
        <v>64</v>
      </c>
      <c r="J222" s="56"/>
    </row>
    <row r="223" spans="1:10" x14ac:dyDescent="0.35">
      <c r="A223" s="51"/>
      <c r="B223" s="53"/>
      <c r="C223" s="11" t="s">
        <v>2</v>
      </c>
      <c r="D223" s="37">
        <f>SUM(D199,D202,D205,D208,D211,D214,D217,D220)</f>
        <v>39214</v>
      </c>
      <c r="E223" s="37">
        <f>SUM(E199,E202,E205,E208,E211,E214,E217,E220)</f>
        <v>880</v>
      </c>
      <c r="F223" s="37">
        <f t="shared" ref="F223" si="1">SUM(F199,F202,F205,F208,F211,F214,F217,F220)</f>
        <v>4310</v>
      </c>
      <c r="G223" s="37">
        <f>SUM(G199,G202,G205,G208,G211,G214,G217,G220)</f>
        <v>118</v>
      </c>
      <c r="H223" s="51"/>
      <c r="I223" s="55"/>
      <c r="J223" s="57"/>
    </row>
    <row r="224" spans="1:10" ht="13.5" customHeight="1" x14ac:dyDescent="0.35">
      <c r="A224" s="42">
        <v>54</v>
      </c>
      <c r="B224" s="44">
        <v>44082</v>
      </c>
      <c r="C224" s="7" t="s">
        <v>1</v>
      </c>
      <c r="D224" s="34">
        <v>288</v>
      </c>
      <c r="E224" s="32">
        <v>5</v>
      </c>
      <c r="F224" s="32">
        <v>184</v>
      </c>
      <c r="G224" s="32">
        <v>3</v>
      </c>
      <c r="H224" s="42" t="s">
        <v>11</v>
      </c>
      <c r="I224" s="46" t="s">
        <v>8</v>
      </c>
      <c r="J224" s="48"/>
    </row>
    <row r="225" spans="1:10" x14ac:dyDescent="0.35">
      <c r="A225" s="43"/>
      <c r="B225" s="45"/>
      <c r="C225" s="7" t="s">
        <v>2</v>
      </c>
      <c r="D225" s="34">
        <v>4790</v>
      </c>
      <c r="E225" s="32">
        <v>89</v>
      </c>
      <c r="F225" s="32">
        <v>141</v>
      </c>
      <c r="G225" s="32">
        <v>3</v>
      </c>
      <c r="H225" s="43"/>
      <c r="I225" s="47"/>
      <c r="J225" s="49"/>
    </row>
    <row r="226" spans="1:10" ht="5.25" customHeight="1" x14ac:dyDescent="0.35">
      <c r="D226" s="35"/>
      <c r="E226" s="33"/>
      <c r="F226" s="36"/>
      <c r="G226" s="36"/>
      <c r="J226" s="38"/>
    </row>
    <row r="227" spans="1:10" x14ac:dyDescent="0.35">
      <c r="A227" s="42">
        <v>55</v>
      </c>
      <c r="B227" s="44">
        <v>44095</v>
      </c>
      <c r="C227" s="7" t="s">
        <v>1</v>
      </c>
      <c r="D227" s="34">
        <v>160</v>
      </c>
      <c r="E227" s="32">
        <v>44</v>
      </c>
      <c r="F227" s="32">
        <v>973</v>
      </c>
      <c r="G227" s="32">
        <v>21</v>
      </c>
      <c r="H227" s="42" t="s">
        <v>25</v>
      </c>
      <c r="I227" s="46" t="s">
        <v>8</v>
      </c>
      <c r="J227" s="48"/>
    </row>
    <row r="228" spans="1:10" x14ac:dyDescent="0.35">
      <c r="A228" s="43"/>
      <c r="B228" s="45"/>
      <c r="C228" s="7" t="s">
        <v>2</v>
      </c>
      <c r="D228" s="34">
        <v>6472</v>
      </c>
      <c r="E228" s="32">
        <v>126</v>
      </c>
      <c r="F228" s="32">
        <v>683</v>
      </c>
      <c r="G228" s="32">
        <v>15</v>
      </c>
      <c r="H228" s="43"/>
      <c r="I228" s="47"/>
      <c r="J228" s="49"/>
    </row>
    <row r="229" spans="1:10" ht="5.25" customHeight="1" x14ac:dyDescent="0.35">
      <c r="A229" s="2"/>
      <c r="B229" s="2"/>
      <c r="C229" s="2"/>
      <c r="D229" s="35"/>
      <c r="E229" s="33"/>
      <c r="F229" s="33"/>
      <c r="G229" s="33"/>
      <c r="H229" s="2"/>
      <c r="I229" s="2"/>
      <c r="J229" s="39"/>
    </row>
    <row r="230" spans="1:10" x14ac:dyDescent="0.35">
      <c r="A230" s="42">
        <v>56</v>
      </c>
      <c r="B230" s="44">
        <v>44097</v>
      </c>
      <c r="C230" s="7" t="s">
        <v>1</v>
      </c>
      <c r="D230" s="34">
        <v>670</v>
      </c>
      <c r="E230" s="32">
        <v>14</v>
      </c>
      <c r="F230" s="32">
        <v>423</v>
      </c>
      <c r="G230" s="32">
        <v>9</v>
      </c>
      <c r="H230" s="42" t="s">
        <v>28</v>
      </c>
      <c r="I230" s="46" t="s">
        <v>8</v>
      </c>
      <c r="J230" s="60"/>
    </row>
    <row r="231" spans="1:10" x14ac:dyDescent="0.35">
      <c r="A231" s="43"/>
      <c r="B231" s="45"/>
      <c r="C231" s="7" t="s">
        <v>2</v>
      </c>
      <c r="D231" s="34">
        <v>5198</v>
      </c>
      <c r="E231" s="32">
        <v>88</v>
      </c>
      <c r="F231" s="32">
        <v>394</v>
      </c>
      <c r="G231" s="32">
        <v>8</v>
      </c>
      <c r="H231" s="43"/>
      <c r="I231" s="47"/>
      <c r="J231" s="61"/>
    </row>
    <row r="232" spans="1:10" ht="5.25" customHeight="1" x14ac:dyDescent="0.35">
      <c r="A232" s="2"/>
      <c r="B232" s="2"/>
      <c r="C232" s="2"/>
      <c r="D232" s="35"/>
      <c r="E232" s="33"/>
      <c r="F232" s="33"/>
      <c r="G232" s="33"/>
      <c r="H232" s="2"/>
      <c r="I232" s="2"/>
      <c r="J232" s="7"/>
    </row>
    <row r="233" spans="1:10" x14ac:dyDescent="0.35">
      <c r="A233" s="42">
        <v>57</v>
      </c>
      <c r="B233" s="44">
        <v>44099</v>
      </c>
      <c r="C233" s="7" t="s">
        <v>1</v>
      </c>
      <c r="D233" s="34">
        <v>479</v>
      </c>
      <c r="E233" s="32">
        <v>11</v>
      </c>
      <c r="F233" s="32">
        <v>463</v>
      </c>
      <c r="G233" s="32">
        <v>7</v>
      </c>
      <c r="H233" s="42" t="s">
        <v>24</v>
      </c>
      <c r="I233" s="46" t="s">
        <v>8</v>
      </c>
      <c r="J233" s="48"/>
    </row>
    <row r="234" spans="1:10" x14ac:dyDescent="0.35">
      <c r="A234" s="43"/>
      <c r="B234" s="45"/>
      <c r="C234" s="7" t="s">
        <v>2</v>
      </c>
      <c r="D234" s="34">
        <v>6171</v>
      </c>
      <c r="E234" s="32">
        <v>110</v>
      </c>
      <c r="F234" s="32">
        <v>393</v>
      </c>
      <c r="G234" s="32">
        <v>7</v>
      </c>
      <c r="H234" s="43"/>
      <c r="I234" s="47"/>
      <c r="J234" s="49"/>
    </row>
    <row r="235" spans="1:10" ht="5.25" customHeight="1" x14ac:dyDescent="0.35">
      <c r="D235" s="35"/>
      <c r="E235" s="33"/>
      <c r="F235" s="36"/>
      <c r="G235" s="36"/>
      <c r="J235" s="38"/>
    </row>
    <row r="236" spans="1:10" x14ac:dyDescent="0.35">
      <c r="A236" s="42">
        <v>58</v>
      </c>
      <c r="B236" s="44">
        <v>44102</v>
      </c>
      <c r="C236" s="7" t="s">
        <v>1</v>
      </c>
      <c r="D236" s="34">
        <v>2585</v>
      </c>
      <c r="E236" s="32">
        <v>56</v>
      </c>
      <c r="F236" s="32">
        <v>791</v>
      </c>
      <c r="G236" s="32">
        <v>15</v>
      </c>
      <c r="H236" s="42" t="s">
        <v>49</v>
      </c>
      <c r="I236" s="46" t="s">
        <v>8</v>
      </c>
      <c r="J236" s="48"/>
    </row>
    <row r="237" spans="1:10" x14ac:dyDescent="0.35">
      <c r="A237" s="43"/>
      <c r="B237" s="45"/>
      <c r="C237" s="7" t="s">
        <v>2</v>
      </c>
      <c r="D237" s="34">
        <v>13519</v>
      </c>
      <c r="E237" s="32">
        <v>256</v>
      </c>
      <c r="F237" s="32">
        <v>470</v>
      </c>
      <c r="G237" s="32">
        <v>9</v>
      </c>
      <c r="H237" s="43"/>
      <c r="I237" s="47"/>
      <c r="J237" s="49"/>
    </row>
    <row r="238" spans="1:10" ht="5.25" customHeight="1" x14ac:dyDescent="0.35">
      <c r="A238" s="2"/>
      <c r="B238" s="2"/>
      <c r="C238" s="2"/>
      <c r="D238" s="35"/>
      <c r="E238" s="33"/>
      <c r="F238" s="33"/>
      <c r="G238" s="33"/>
      <c r="H238" s="2"/>
      <c r="I238" s="2"/>
      <c r="J238" s="39"/>
    </row>
    <row r="239" spans="1:10" ht="12.75" customHeight="1" x14ac:dyDescent="0.35">
      <c r="A239" s="50"/>
      <c r="B239" s="52" t="s">
        <v>65</v>
      </c>
      <c r="C239" s="11" t="s">
        <v>1</v>
      </c>
      <c r="D239" s="37">
        <f t="shared" ref="D239:G240" si="2">SUM(D224+D227+D230+D233+D236)</f>
        <v>4182</v>
      </c>
      <c r="E239" s="37">
        <f t="shared" si="2"/>
        <v>130</v>
      </c>
      <c r="F239" s="37">
        <f t="shared" si="2"/>
        <v>2834</v>
      </c>
      <c r="G239" s="37">
        <f t="shared" si="2"/>
        <v>55</v>
      </c>
      <c r="H239" s="50" t="s">
        <v>66</v>
      </c>
      <c r="I239" s="54" t="s">
        <v>64</v>
      </c>
      <c r="J239" s="56"/>
    </row>
    <row r="240" spans="1:10" x14ac:dyDescent="0.35">
      <c r="A240" s="51"/>
      <c r="B240" s="53"/>
      <c r="C240" s="11" t="s">
        <v>2</v>
      </c>
      <c r="D240" s="37">
        <f t="shared" si="2"/>
        <v>36150</v>
      </c>
      <c r="E240" s="37">
        <f t="shared" si="2"/>
        <v>669</v>
      </c>
      <c r="F240" s="37">
        <f t="shared" si="2"/>
        <v>2081</v>
      </c>
      <c r="G240" s="37">
        <f t="shared" si="2"/>
        <v>42</v>
      </c>
      <c r="H240" s="51"/>
      <c r="I240" s="55"/>
      <c r="J240" s="57"/>
    </row>
    <row r="241" spans="1:10" ht="3.75" customHeight="1" x14ac:dyDescent="0.35"/>
    <row r="242" spans="1:10" ht="13.5" customHeight="1" x14ac:dyDescent="0.35">
      <c r="A242" s="42">
        <v>59</v>
      </c>
      <c r="B242" s="44">
        <v>44107</v>
      </c>
      <c r="C242" s="7" t="s">
        <v>1</v>
      </c>
      <c r="D242" s="41">
        <f>2482+F242</f>
        <v>2970</v>
      </c>
      <c r="E242" s="32">
        <f>52+G242</f>
        <v>59</v>
      </c>
      <c r="F242" s="32">
        <v>488</v>
      </c>
      <c r="G242" s="32">
        <v>7</v>
      </c>
      <c r="H242" s="42" t="s">
        <v>61</v>
      </c>
      <c r="I242" s="46" t="s">
        <v>8</v>
      </c>
      <c r="J242" s="48" t="s">
        <v>72</v>
      </c>
    </row>
    <row r="243" spans="1:10" x14ac:dyDescent="0.35">
      <c r="A243" s="43"/>
      <c r="B243" s="45"/>
      <c r="C243" s="7" t="s">
        <v>2</v>
      </c>
      <c r="D243" s="34">
        <f>14270+F243</f>
        <v>14682</v>
      </c>
      <c r="E243" s="32">
        <f>268+G243</f>
        <v>276</v>
      </c>
      <c r="F243" s="32">
        <v>412</v>
      </c>
      <c r="G243" s="32">
        <v>8</v>
      </c>
      <c r="H243" s="43"/>
      <c r="I243" s="47"/>
      <c r="J243" s="49"/>
    </row>
    <row r="244" spans="1:10" ht="5.25" customHeight="1" x14ac:dyDescent="0.35">
      <c r="D244" s="35"/>
      <c r="E244" s="33"/>
      <c r="F244" s="36"/>
      <c r="G244" s="36"/>
      <c r="J244" s="38"/>
    </row>
    <row r="245" spans="1:10" x14ac:dyDescent="0.35">
      <c r="A245" s="42">
        <v>60</v>
      </c>
      <c r="B245" s="44">
        <v>44109</v>
      </c>
      <c r="C245" s="7" t="s">
        <v>1</v>
      </c>
      <c r="D245" s="34">
        <v>236</v>
      </c>
      <c r="E245" s="32">
        <v>6</v>
      </c>
      <c r="F245" s="32">
        <v>236</v>
      </c>
      <c r="G245" s="32">
        <v>6</v>
      </c>
      <c r="H245" s="42" t="s">
        <v>28</v>
      </c>
      <c r="I245" s="46" t="s">
        <v>8</v>
      </c>
      <c r="J245" s="48"/>
    </row>
    <row r="246" spans="1:10" x14ac:dyDescent="0.35">
      <c r="A246" s="43"/>
      <c r="B246" s="45"/>
      <c r="C246" s="7" t="s">
        <v>2</v>
      </c>
      <c r="D246" s="34">
        <v>417</v>
      </c>
      <c r="E246" s="32">
        <v>8</v>
      </c>
      <c r="F246" s="32">
        <v>417</v>
      </c>
      <c r="G246" s="32">
        <v>8</v>
      </c>
      <c r="H246" s="43"/>
      <c r="I246" s="47"/>
      <c r="J246" s="49"/>
    </row>
    <row r="247" spans="1:10" ht="5.25" customHeight="1" x14ac:dyDescent="0.35">
      <c r="A247" s="2"/>
      <c r="B247" s="2"/>
      <c r="C247" s="2"/>
      <c r="D247" s="35"/>
      <c r="E247" s="33"/>
      <c r="F247" s="40"/>
      <c r="G247" s="40"/>
      <c r="H247" s="2"/>
      <c r="I247" s="2"/>
      <c r="J247" s="39"/>
    </row>
    <row r="248" spans="1:10" x14ac:dyDescent="0.35">
      <c r="A248" s="42">
        <v>61</v>
      </c>
      <c r="B248" s="44">
        <v>44111</v>
      </c>
      <c r="C248" s="7" t="s">
        <v>1</v>
      </c>
      <c r="D248" s="34">
        <f>816+F248</f>
        <v>1477</v>
      </c>
      <c r="E248" s="32">
        <f>16+G248</f>
        <v>29</v>
      </c>
      <c r="F248" s="32">
        <v>661</v>
      </c>
      <c r="G248" s="32">
        <v>13</v>
      </c>
      <c r="H248" s="42" t="s">
        <v>27</v>
      </c>
      <c r="I248" s="46" t="s">
        <v>8</v>
      </c>
      <c r="J248" s="60"/>
    </row>
    <row r="249" spans="1:10" x14ac:dyDescent="0.35">
      <c r="A249" s="43"/>
      <c r="B249" s="45"/>
      <c r="C249" s="7" t="s">
        <v>2</v>
      </c>
      <c r="D249" s="34">
        <f>3434+F249</f>
        <v>3818</v>
      </c>
      <c r="E249" s="32">
        <f>65+G249</f>
        <v>74</v>
      </c>
      <c r="F249" s="32">
        <v>384</v>
      </c>
      <c r="G249" s="32">
        <v>9</v>
      </c>
      <c r="H249" s="43"/>
      <c r="I249" s="47"/>
      <c r="J249" s="61"/>
    </row>
    <row r="250" spans="1:10" ht="5.25" customHeight="1" x14ac:dyDescent="0.35">
      <c r="A250" s="2"/>
      <c r="B250" s="2"/>
      <c r="C250" s="2"/>
      <c r="D250" s="35"/>
      <c r="E250" s="33"/>
      <c r="F250" s="33"/>
      <c r="G250" s="33"/>
      <c r="H250" s="2"/>
      <c r="I250" s="2"/>
      <c r="J250" s="7"/>
    </row>
    <row r="251" spans="1:10" x14ac:dyDescent="0.35">
      <c r="A251" s="42">
        <v>62</v>
      </c>
      <c r="B251" s="44">
        <v>44116</v>
      </c>
      <c r="C251" s="7" t="s">
        <v>1</v>
      </c>
      <c r="D251" s="34">
        <f>985+F251</f>
        <v>1622</v>
      </c>
      <c r="E251" s="32">
        <f>20+G251</f>
        <v>34</v>
      </c>
      <c r="F251" s="32">
        <v>637</v>
      </c>
      <c r="G251" s="32">
        <v>14</v>
      </c>
      <c r="H251" s="42" t="s">
        <v>9</v>
      </c>
      <c r="I251" s="46" t="s">
        <v>8</v>
      </c>
      <c r="J251" s="48"/>
    </row>
    <row r="252" spans="1:10" x14ac:dyDescent="0.35">
      <c r="A252" s="43"/>
      <c r="B252" s="45"/>
      <c r="C252" s="7" t="s">
        <v>2</v>
      </c>
      <c r="D252" s="34">
        <f>4676+F252</f>
        <v>5535</v>
      </c>
      <c r="E252" s="32">
        <f>83+G252</f>
        <v>96</v>
      </c>
      <c r="F252" s="32">
        <v>859</v>
      </c>
      <c r="G252" s="32">
        <v>13</v>
      </c>
      <c r="H252" s="43"/>
      <c r="I252" s="47"/>
      <c r="J252" s="49"/>
    </row>
    <row r="253" spans="1:10" ht="5.25" customHeight="1" x14ac:dyDescent="0.35">
      <c r="D253" s="35"/>
      <c r="E253" s="33"/>
      <c r="F253" s="36"/>
      <c r="G253" s="36"/>
      <c r="J253" s="38"/>
    </row>
    <row r="254" spans="1:10" x14ac:dyDescent="0.35">
      <c r="A254" s="42">
        <v>63</v>
      </c>
      <c r="B254" s="44">
        <v>44118</v>
      </c>
      <c r="C254" s="7" t="s">
        <v>1</v>
      </c>
      <c r="D254" s="34">
        <f>2236+F254</f>
        <v>3771</v>
      </c>
      <c r="E254" s="32">
        <f>46+G254</f>
        <v>75</v>
      </c>
      <c r="F254" s="32">
        <v>1535</v>
      </c>
      <c r="G254" s="32">
        <v>29</v>
      </c>
      <c r="H254" s="58" t="s">
        <v>36</v>
      </c>
      <c r="I254" s="46" t="s">
        <v>8</v>
      </c>
      <c r="J254" s="48" t="s">
        <v>68</v>
      </c>
    </row>
    <row r="255" spans="1:10" x14ac:dyDescent="0.35">
      <c r="A255" s="43"/>
      <c r="B255" s="45"/>
      <c r="C255" s="7" t="s">
        <v>2</v>
      </c>
      <c r="D255" s="34">
        <f>10729+F255</f>
        <v>11826</v>
      </c>
      <c r="E255" s="32">
        <f>189+G255</f>
        <v>208</v>
      </c>
      <c r="F255" s="32">
        <v>1097</v>
      </c>
      <c r="G255" s="32">
        <v>19</v>
      </c>
      <c r="H255" s="59"/>
      <c r="I255" s="47"/>
      <c r="J255" s="49"/>
    </row>
    <row r="256" spans="1:10" ht="3.75" customHeight="1" x14ac:dyDescent="0.35"/>
    <row r="257" spans="1:10" ht="13.5" customHeight="1" x14ac:dyDescent="0.35">
      <c r="A257" s="42">
        <v>64</v>
      </c>
      <c r="B257" s="44">
        <v>44123</v>
      </c>
      <c r="C257" s="7" t="s">
        <v>1</v>
      </c>
      <c r="D257" s="34">
        <f>449+F257</f>
        <v>675</v>
      </c>
      <c r="E257" s="32">
        <f>10+G257</f>
        <v>15</v>
      </c>
      <c r="F257" s="32">
        <v>226</v>
      </c>
      <c r="G257" s="32">
        <v>5</v>
      </c>
      <c r="H257" s="42" t="s">
        <v>23</v>
      </c>
      <c r="I257" s="46" t="s">
        <v>8</v>
      </c>
      <c r="J257" s="48"/>
    </row>
    <row r="258" spans="1:10" x14ac:dyDescent="0.35">
      <c r="A258" s="43"/>
      <c r="B258" s="45"/>
      <c r="C258" s="7" t="s">
        <v>2</v>
      </c>
      <c r="D258" s="34">
        <f>2631+F258</f>
        <v>2846</v>
      </c>
      <c r="E258" s="32">
        <f>44+G258</f>
        <v>47</v>
      </c>
      <c r="F258" s="32">
        <v>215</v>
      </c>
      <c r="G258" s="32">
        <v>3</v>
      </c>
      <c r="H258" s="43"/>
      <c r="I258" s="47"/>
      <c r="J258" s="49"/>
    </row>
    <row r="259" spans="1:10" ht="5.25" customHeight="1" x14ac:dyDescent="0.35">
      <c r="D259" s="35"/>
      <c r="E259" s="33"/>
      <c r="F259" s="36"/>
      <c r="G259" s="36"/>
      <c r="J259" s="38"/>
    </row>
    <row r="260" spans="1:10" x14ac:dyDescent="0.35">
      <c r="A260" s="42">
        <v>65</v>
      </c>
      <c r="B260" s="44">
        <v>44125</v>
      </c>
      <c r="C260" s="7" t="s">
        <v>1</v>
      </c>
      <c r="D260" s="34">
        <f>1516+F260</f>
        <v>2576</v>
      </c>
      <c r="E260" s="32">
        <f>31+G260</f>
        <v>49</v>
      </c>
      <c r="F260" s="32">
        <v>1060</v>
      </c>
      <c r="G260" s="32">
        <v>18</v>
      </c>
      <c r="H260" s="42" t="s">
        <v>67</v>
      </c>
      <c r="I260" s="46" t="s">
        <v>8</v>
      </c>
      <c r="J260" s="48" t="s">
        <v>69</v>
      </c>
    </row>
    <row r="261" spans="1:10" x14ac:dyDescent="0.35">
      <c r="A261" s="43"/>
      <c r="B261" s="45"/>
      <c r="C261" s="7" t="s">
        <v>2</v>
      </c>
      <c r="D261" s="34">
        <f>7971+F261</f>
        <v>9233</v>
      </c>
      <c r="E261" s="32">
        <f>135+G261</f>
        <v>155</v>
      </c>
      <c r="F261" s="32">
        <v>1262</v>
      </c>
      <c r="G261" s="32">
        <v>20</v>
      </c>
      <c r="H261" s="43"/>
      <c r="I261" s="47"/>
      <c r="J261" s="49"/>
    </row>
    <row r="262" spans="1:10" ht="5.25" customHeight="1" x14ac:dyDescent="0.35">
      <c r="A262" s="2"/>
      <c r="B262" s="2"/>
      <c r="C262" s="2"/>
      <c r="D262" s="35"/>
      <c r="E262" s="33"/>
      <c r="F262" s="33"/>
      <c r="G262" s="33"/>
      <c r="H262" s="2"/>
      <c r="I262" s="2"/>
      <c r="J262" s="39"/>
    </row>
    <row r="263" spans="1:10" x14ac:dyDescent="0.35">
      <c r="A263" s="42">
        <v>66</v>
      </c>
      <c r="B263" s="44">
        <v>44128</v>
      </c>
      <c r="C263" s="7" t="s">
        <v>1</v>
      </c>
      <c r="D263" s="34">
        <f>772+F263</f>
        <v>1557</v>
      </c>
      <c r="E263" s="32">
        <f>16+G263</f>
        <v>31</v>
      </c>
      <c r="F263" s="32">
        <v>785</v>
      </c>
      <c r="G263" s="32">
        <v>15</v>
      </c>
      <c r="H263" s="42" t="s">
        <v>3</v>
      </c>
      <c r="I263" s="46" t="s">
        <v>8</v>
      </c>
      <c r="J263" s="48" t="s">
        <v>70</v>
      </c>
    </row>
    <row r="264" spans="1:10" x14ac:dyDescent="0.35">
      <c r="A264" s="43"/>
      <c r="B264" s="45"/>
      <c r="C264" s="7" t="s">
        <v>2</v>
      </c>
      <c r="D264" s="34">
        <f>5613+F264-88</f>
        <v>6012</v>
      </c>
      <c r="E264" s="32">
        <f>100+G264-1</f>
        <v>107</v>
      </c>
      <c r="F264" s="32">
        <v>487</v>
      </c>
      <c r="G264" s="32">
        <v>8</v>
      </c>
      <c r="H264" s="43"/>
      <c r="I264" s="47"/>
      <c r="J264" s="49"/>
    </row>
    <row r="265" spans="1:10" ht="5.25" customHeight="1" x14ac:dyDescent="0.35">
      <c r="A265" s="2"/>
      <c r="B265" s="2"/>
      <c r="C265" s="2"/>
      <c r="D265" s="35"/>
      <c r="E265" s="33"/>
      <c r="F265" s="33"/>
      <c r="G265" s="33"/>
      <c r="H265" s="2"/>
      <c r="I265" s="2"/>
      <c r="J265" s="7"/>
    </row>
    <row r="266" spans="1:10" x14ac:dyDescent="0.35">
      <c r="A266" s="42">
        <v>67</v>
      </c>
      <c r="B266" s="44">
        <v>44132</v>
      </c>
      <c r="C266" s="7" t="s">
        <v>1</v>
      </c>
      <c r="D266" s="34">
        <f>555+F266</f>
        <v>840</v>
      </c>
      <c r="E266" s="32">
        <f>13+G266</f>
        <v>18</v>
      </c>
      <c r="F266" s="32">
        <v>285</v>
      </c>
      <c r="G266" s="32">
        <v>5</v>
      </c>
      <c r="H266" s="42" t="s">
        <v>15</v>
      </c>
      <c r="I266" s="46" t="s">
        <v>8</v>
      </c>
      <c r="J266" s="48"/>
    </row>
    <row r="267" spans="1:10" x14ac:dyDescent="0.35">
      <c r="A267" s="43"/>
      <c r="B267" s="45"/>
      <c r="C267" s="7" t="s">
        <v>2</v>
      </c>
      <c r="D267" s="34">
        <f>6811+F267</f>
        <v>7152</v>
      </c>
      <c r="E267" s="32">
        <f>123+G267</f>
        <v>130</v>
      </c>
      <c r="F267" s="32">
        <v>341</v>
      </c>
      <c r="G267" s="32">
        <v>7</v>
      </c>
      <c r="H267" s="43"/>
      <c r="I267" s="47"/>
      <c r="J267" s="49"/>
    </row>
    <row r="268" spans="1:10" ht="5.25" customHeight="1" x14ac:dyDescent="0.35">
      <c r="D268" s="35"/>
      <c r="E268" s="33"/>
      <c r="F268" s="36"/>
      <c r="G268" s="36"/>
      <c r="J268" s="38"/>
    </row>
    <row r="269" spans="1:10" x14ac:dyDescent="0.35">
      <c r="A269" s="42">
        <v>68</v>
      </c>
      <c r="B269" s="44">
        <v>44135</v>
      </c>
      <c r="C269" s="7" t="s">
        <v>1</v>
      </c>
      <c r="D269" s="34">
        <f>903+F269-163</f>
        <v>1897</v>
      </c>
      <c r="E269" s="32">
        <f>20+G269-3</f>
        <v>40</v>
      </c>
      <c r="F269" s="32">
        <v>1157</v>
      </c>
      <c r="G269" s="32">
        <v>23</v>
      </c>
      <c r="H269" s="42" t="s">
        <v>61</v>
      </c>
      <c r="I269" s="46" t="s">
        <v>8</v>
      </c>
      <c r="J269" s="48" t="s">
        <v>71</v>
      </c>
    </row>
    <row r="270" spans="1:10" x14ac:dyDescent="0.35">
      <c r="A270" s="43"/>
      <c r="B270" s="45"/>
      <c r="C270" s="7" t="s">
        <v>2</v>
      </c>
      <c r="D270" s="34">
        <f>10709+F270-44</f>
        <v>11743</v>
      </c>
      <c r="E270" s="32">
        <f>198+G270-1</f>
        <v>214</v>
      </c>
      <c r="F270" s="32">
        <v>1078</v>
      </c>
      <c r="G270" s="32">
        <v>17</v>
      </c>
      <c r="H270" s="43"/>
      <c r="I270" s="47"/>
      <c r="J270" s="49"/>
    </row>
    <row r="271" spans="1:10" ht="12.75" customHeight="1" x14ac:dyDescent="0.35">
      <c r="A271" s="50"/>
      <c r="B271" s="52" t="s">
        <v>73</v>
      </c>
      <c r="C271" s="11" t="s">
        <v>1</v>
      </c>
      <c r="D271" s="37">
        <f t="shared" ref="D271:G272" si="3">(D242+D245+D248+D251+D254+D257+D260+D263+D266+D269)</f>
        <v>17621</v>
      </c>
      <c r="E271" s="37">
        <f t="shared" si="3"/>
        <v>356</v>
      </c>
      <c r="F271" s="37">
        <f t="shared" si="3"/>
        <v>7070</v>
      </c>
      <c r="G271" s="37">
        <f t="shared" si="3"/>
        <v>135</v>
      </c>
      <c r="H271" s="50" t="s">
        <v>74</v>
      </c>
      <c r="I271" s="54" t="s">
        <v>64</v>
      </c>
      <c r="J271" s="56"/>
    </row>
    <row r="272" spans="1:10" x14ac:dyDescent="0.35">
      <c r="A272" s="51"/>
      <c r="B272" s="53"/>
      <c r="C272" s="11" t="s">
        <v>2</v>
      </c>
      <c r="D272" s="37">
        <f t="shared" si="3"/>
        <v>73264</v>
      </c>
      <c r="E272" s="37">
        <f t="shared" si="3"/>
        <v>1315</v>
      </c>
      <c r="F272" s="37">
        <f t="shared" si="3"/>
        <v>6552</v>
      </c>
      <c r="G272" s="37">
        <f t="shared" si="3"/>
        <v>112</v>
      </c>
      <c r="H272" s="51"/>
      <c r="I272" s="55"/>
      <c r="J272" s="57"/>
    </row>
    <row r="273" spans="1:10" ht="4.5" customHeight="1" x14ac:dyDescent="0.35"/>
    <row r="274" spans="1:10" ht="13.5" customHeight="1" x14ac:dyDescent="0.35">
      <c r="A274" s="42">
        <v>69</v>
      </c>
      <c r="B274" s="44">
        <v>44138</v>
      </c>
      <c r="C274" s="7" t="s">
        <v>1</v>
      </c>
      <c r="D274" s="41">
        <f>508+662</f>
        <v>1170</v>
      </c>
      <c r="E274" s="32">
        <f>10+12</f>
        <v>22</v>
      </c>
      <c r="F274" s="32">
        <v>854</v>
      </c>
      <c r="G274" s="32">
        <v>16</v>
      </c>
      <c r="H274" s="42" t="s">
        <v>14</v>
      </c>
      <c r="I274" s="46" t="s">
        <v>8</v>
      </c>
      <c r="J274" s="48" t="s">
        <v>77</v>
      </c>
    </row>
    <row r="275" spans="1:10" x14ac:dyDescent="0.35">
      <c r="A275" s="43"/>
      <c r="B275" s="45"/>
      <c r="C275" s="7" t="s">
        <v>2</v>
      </c>
      <c r="D275" s="34">
        <f>3321+835</f>
        <v>4156</v>
      </c>
      <c r="E275" s="32">
        <f>62+14</f>
        <v>76</v>
      </c>
      <c r="F275" s="32">
        <v>877</v>
      </c>
      <c r="G275" s="32">
        <v>15</v>
      </c>
      <c r="H275" s="43"/>
      <c r="I275" s="47"/>
      <c r="J275" s="49"/>
    </row>
    <row r="276" spans="1:10" ht="5.25" customHeight="1" x14ac:dyDescent="0.35">
      <c r="D276" s="35"/>
      <c r="E276" s="33"/>
      <c r="F276" s="36"/>
      <c r="G276" s="36"/>
      <c r="J276" s="38"/>
    </row>
    <row r="277" spans="1:10" x14ac:dyDescent="0.35">
      <c r="A277" s="42">
        <v>70</v>
      </c>
      <c r="B277" s="44">
        <v>44144</v>
      </c>
      <c r="C277" s="7" t="s">
        <v>1</v>
      </c>
      <c r="D277" s="34">
        <f>878+F277</f>
        <v>3241</v>
      </c>
      <c r="E277" s="32">
        <f>21+G277</f>
        <v>65</v>
      </c>
      <c r="F277" s="32">
        <v>2363</v>
      </c>
      <c r="G277" s="32">
        <v>44</v>
      </c>
      <c r="H277" s="42" t="s">
        <v>75</v>
      </c>
      <c r="I277" s="46" t="s">
        <v>8</v>
      </c>
      <c r="J277" s="48"/>
    </row>
    <row r="278" spans="1:10" x14ac:dyDescent="0.35">
      <c r="A278" s="43"/>
      <c r="B278" s="45"/>
      <c r="C278" s="7" t="s">
        <v>2</v>
      </c>
      <c r="D278" s="34">
        <f>2899+F278</f>
        <v>4981</v>
      </c>
      <c r="E278" s="32">
        <f>51+G278</f>
        <v>88</v>
      </c>
      <c r="F278" s="32">
        <v>2082</v>
      </c>
      <c r="G278" s="32">
        <v>37</v>
      </c>
      <c r="H278" s="43"/>
      <c r="I278" s="47"/>
      <c r="J278" s="49"/>
    </row>
    <row r="279" spans="1:10" ht="5.25" customHeight="1" x14ac:dyDescent="0.35">
      <c r="A279" s="2"/>
      <c r="B279" s="2"/>
      <c r="C279" s="2"/>
      <c r="D279" s="35"/>
      <c r="E279" s="33"/>
      <c r="F279" s="40"/>
      <c r="G279" s="40"/>
      <c r="H279" s="2"/>
      <c r="I279" s="2"/>
      <c r="J279" s="39"/>
    </row>
    <row r="280" spans="1:10" x14ac:dyDescent="0.35">
      <c r="A280" s="42">
        <v>71</v>
      </c>
      <c r="B280" s="44">
        <v>44145</v>
      </c>
      <c r="C280" s="7" t="s">
        <v>1</v>
      </c>
      <c r="D280" s="34">
        <f>682+F280</f>
        <v>1658</v>
      </c>
      <c r="E280" s="32">
        <f>16+G280</f>
        <v>34</v>
      </c>
      <c r="F280" s="32">
        <v>976</v>
      </c>
      <c r="G280" s="32">
        <v>18</v>
      </c>
      <c r="H280" s="42" t="s">
        <v>75</v>
      </c>
      <c r="I280" s="46" t="s">
        <v>8</v>
      </c>
      <c r="J280" s="60"/>
    </row>
    <row r="281" spans="1:10" x14ac:dyDescent="0.35">
      <c r="A281" s="43"/>
      <c r="B281" s="45"/>
      <c r="C281" s="7" t="s">
        <v>2</v>
      </c>
      <c r="D281" s="34">
        <f>2214+F281</f>
        <v>3965</v>
      </c>
      <c r="E281" s="32">
        <f>39+G281</f>
        <v>74</v>
      </c>
      <c r="F281" s="32">
        <v>1751</v>
      </c>
      <c r="G281" s="32">
        <v>35</v>
      </c>
      <c r="H281" s="43"/>
      <c r="I281" s="47"/>
      <c r="J281" s="61"/>
    </row>
    <row r="282" spans="1:10" ht="5.25" customHeight="1" x14ac:dyDescent="0.35">
      <c r="A282" s="2"/>
      <c r="B282" s="2"/>
      <c r="C282" s="2"/>
      <c r="D282" s="35"/>
      <c r="E282" s="33"/>
      <c r="F282" s="33"/>
      <c r="G282" s="33"/>
      <c r="H282" s="2"/>
      <c r="I282" s="2"/>
      <c r="J282" s="7"/>
    </row>
    <row r="283" spans="1:10" x14ac:dyDescent="0.35">
      <c r="A283" s="42">
        <v>72</v>
      </c>
      <c r="B283" s="44">
        <v>44149</v>
      </c>
      <c r="C283" s="7" t="s">
        <v>1</v>
      </c>
      <c r="D283" s="34">
        <f>981+F283</f>
        <v>2038</v>
      </c>
      <c r="E283" s="32">
        <f>24+G283</f>
        <v>44</v>
      </c>
      <c r="F283" s="32">
        <v>1057</v>
      </c>
      <c r="G283" s="32">
        <v>20</v>
      </c>
      <c r="H283" s="42" t="s">
        <v>27</v>
      </c>
      <c r="I283" s="46" t="s">
        <v>8</v>
      </c>
      <c r="J283" s="48"/>
    </row>
    <row r="284" spans="1:10" x14ac:dyDescent="0.35">
      <c r="A284" s="43"/>
      <c r="B284" s="45"/>
      <c r="C284" s="7" t="s">
        <v>2</v>
      </c>
      <c r="D284" s="34">
        <f>2568+F284</f>
        <v>3321</v>
      </c>
      <c r="E284" s="32">
        <f>46+G284</f>
        <v>56</v>
      </c>
      <c r="F284" s="32">
        <v>753</v>
      </c>
      <c r="G284" s="32">
        <v>10</v>
      </c>
      <c r="H284" s="43"/>
      <c r="I284" s="47"/>
      <c r="J284" s="49"/>
    </row>
    <row r="285" spans="1:10" ht="5.25" customHeight="1" x14ac:dyDescent="0.35">
      <c r="D285" s="35"/>
      <c r="E285" s="33"/>
      <c r="F285" s="36"/>
      <c r="G285" s="36"/>
      <c r="J285" s="38"/>
    </row>
    <row r="286" spans="1:10" x14ac:dyDescent="0.35">
      <c r="A286" s="42">
        <v>73</v>
      </c>
      <c r="B286" s="44">
        <v>44153</v>
      </c>
      <c r="C286" s="7" t="s">
        <v>1</v>
      </c>
      <c r="D286" s="34">
        <f>1586+F286</f>
        <v>2745</v>
      </c>
      <c r="E286" s="32">
        <f>34+G286</f>
        <v>60</v>
      </c>
      <c r="F286" s="32">
        <v>1159</v>
      </c>
      <c r="G286" s="32">
        <v>26</v>
      </c>
      <c r="H286" s="58" t="s">
        <v>15</v>
      </c>
      <c r="I286" s="46" t="s">
        <v>8</v>
      </c>
      <c r="J286" s="48" t="s">
        <v>78</v>
      </c>
    </row>
    <row r="287" spans="1:10" x14ac:dyDescent="0.35">
      <c r="A287" s="43"/>
      <c r="B287" s="45"/>
      <c r="C287" s="7" t="s">
        <v>2</v>
      </c>
      <c r="D287" s="34">
        <f>3428+F287</f>
        <v>4159</v>
      </c>
      <c r="E287" s="32">
        <f>60+G287</f>
        <v>72</v>
      </c>
      <c r="F287" s="32">
        <v>731</v>
      </c>
      <c r="G287" s="32">
        <v>12</v>
      </c>
      <c r="H287" s="59"/>
      <c r="I287" s="47"/>
      <c r="J287" s="49"/>
    </row>
    <row r="288" spans="1:10" ht="3.75" customHeight="1" x14ac:dyDescent="0.35"/>
    <row r="289" spans="1:10" ht="13.5" customHeight="1" x14ac:dyDescent="0.35">
      <c r="A289" s="42">
        <v>74</v>
      </c>
      <c r="B289" s="44">
        <v>44154</v>
      </c>
      <c r="C289" s="7" t="s">
        <v>1</v>
      </c>
      <c r="D289" s="34">
        <f>698+F289</f>
        <v>2262</v>
      </c>
      <c r="E289" s="32">
        <f>18+G289</f>
        <v>49</v>
      </c>
      <c r="F289" s="32">
        <v>1564</v>
      </c>
      <c r="G289" s="32">
        <v>31</v>
      </c>
      <c r="H289" s="42" t="s">
        <v>50</v>
      </c>
      <c r="I289" s="46" t="s">
        <v>8</v>
      </c>
      <c r="J289" s="48"/>
    </row>
    <row r="290" spans="1:10" x14ac:dyDescent="0.35">
      <c r="A290" s="43"/>
      <c r="B290" s="45"/>
      <c r="C290" s="7" t="s">
        <v>2</v>
      </c>
      <c r="D290" s="34">
        <f>3911+F290</f>
        <v>4451</v>
      </c>
      <c r="E290" s="32">
        <f>70+G290</f>
        <v>79</v>
      </c>
      <c r="F290" s="32">
        <v>540</v>
      </c>
      <c r="G290" s="32">
        <v>9</v>
      </c>
      <c r="H290" s="43"/>
      <c r="I290" s="47"/>
      <c r="J290" s="49"/>
    </row>
    <row r="291" spans="1:10" ht="5.25" customHeight="1" x14ac:dyDescent="0.35">
      <c r="D291" s="35"/>
      <c r="E291" s="33"/>
      <c r="F291" s="36"/>
      <c r="G291" s="36"/>
      <c r="J291" s="38"/>
    </row>
    <row r="292" spans="1:10" x14ac:dyDescent="0.35">
      <c r="A292" s="42">
        <v>75</v>
      </c>
      <c r="B292" s="44">
        <v>44158</v>
      </c>
      <c r="C292" s="7" t="s">
        <v>1</v>
      </c>
      <c r="D292" s="34">
        <f>377+F292</f>
        <v>4906</v>
      </c>
      <c r="E292" s="32">
        <f>8+G292</f>
        <v>92</v>
      </c>
      <c r="F292" s="32">
        <v>4529</v>
      </c>
      <c r="G292" s="32">
        <v>84</v>
      </c>
      <c r="H292" s="42" t="s">
        <v>24</v>
      </c>
      <c r="I292" s="46" t="s">
        <v>8</v>
      </c>
      <c r="J292" s="48"/>
    </row>
    <row r="293" spans="1:10" x14ac:dyDescent="0.35">
      <c r="A293" s="43"/>
      <c r="B293" s="45"/>
      <c r="C293" s="7" t="s">
        <v>2</v>
      </c>
      <c r="D293" s="34">
        <f>2585+F293</f>
        <v>4436</v>
      </c>
      <c r="E293" s="32">
        <f>45+G293</f>
        <v>76</v>
      </c>
      <c r="F293" s="32">
        <v>1851</v>
      </c>
      <c r="G293" s="32">
        <v>31</v>
      </c>
      <c r="H293" s="43"/>
      <c r="I293" s="47"/>
      <c r="J293" s="49"/>
    </row>
    <row r="294" spans="1:10" ht="5.25" customHeight="1" x14ac:dyDescent="0.35">
      <c r="A294" s="2"/>
      <c r="B294" s="2"/>
      <c r="C294" s="2"/>
      <c r="D294" s="35"/>
      <c r="E294" s="33"/>
      <c r="F294" s="33"/>
      <c r="G294" s="33"/>
      <c r="H294" s="2"/>
      <c r="I294" s="2"/>
      <c r="J294" s="39"/>
    </row>
    <row r="295" spans="1:10" x14ac:dyDescent="0.35">
      <c r="A295" s="42">
        <v>76</v>
      </c>
      <c r="B295" s="44">
        <v>44159</v>
      </c>
      <c r="C295" s="7" t="s">
        <v>1</v>
      </c>
      <c r="D295" s="34">
        <f>815+F295</f>
        <v>2460</v>
      </c>
      <c r="E295" s="32">
        <f>21+G295</f>
        <v>59</v>
      </c>
      <c r="F295" s="32">
        <v>1645</v>
      </c>
      <c r="G295" s="32">
        <v>38</v>
      </c>
      <c r="H295" s="42" t="s">
        <v>50</v>
      </c>
      <c r="I295" s="46" t="s">
        <v>8</v>
      </c>
      <c r="J295" s="48"/>
    </row>
    <row r="296" spans="1:10" x14ac:dyDescent="0.35">
      <c r="A296" s="43"/>
      <c r="B296" s="45"/>
      <c r="C296" s="7" t="s">
        <v>2</v>
      </c>
      <c r="D296" s="34">
        <f>1982+F296</f>
        <v>3388</v>
      </c>
      <c r="E296" s="32">
        <f>35+G296</f>
        <v>60</v>
      </c>
      <c r="F296" s="32">
        <v>1406</v>
      </c>
      <c r="G296" s="32">
        <v>25</v>
      </c>
      <c r="H296" s="43"/>
      <c r="I296" s="47"/>
      <c r="J296" s="49"/>
    </row>
    <row r="297" spans="1:10" ht="5.25" customHeight="1" x14ac:dyDescent="0.35">
      <c r="A297" s="2"/>
      <c r="B297" s="2"/>
      <c r="C297" s="2"/>
      <c r="D297" s="35"/>
      <c r="E297" s="33"/>
      <c r="F297" s="33"/>
      <c r="G297" s="33"/>
      <c r="H297" s="2"/>
      <c r="I297" s="2"/>
      <c r="J297" s="7"/>
    </row>
    <row r="298" spans="1:10" x14ac:dyDescent="0.35">
      <c r="A298" s="42">
        <v>77</v>
      </c>
      <c r="B298" s="44">
        <v>44163</v>
      </c>
      <c r="C298" s="7" t="s">
        <v>1</v>
      </c>
      <c r="D298" s="34">
        <f>1027+F298</f>
        <v>5377</v>
      </c>
      <c r="E298" s="32">
        <f>23+G298</f>
        <v>117</v>
      </c>
      <c r="F298" s="32">
        <v>4350</v>
      </c>
      <c r="G298" s="32">
        <v>94</v>
      </c>
      <c r="H298" s="42" t="s">
        <v>11</v>
      </c>
      <c r="I298" s="46" t="s">
        <v>8</v>
      </c>
      <c r="J298" s="48"/>
    </row>
    <row r="299" spans="1:10" x14ac:dyDescent="0.35">
      <c r="A299" s="43"/>
      <c r="B299" s="45"/>
      <c r="C299" s="7" t="s">
        <v>2</v>
      </c>
      <c r="D299" s="34">
        <f>1333+F299</f>
        <v>3778</v>
      </c>
      <c r="E299" s="32">
        <f>27+G299</f>
        <v>72</v>
      </c>
      <c r="F299" s="32">
        <v>2445</v>
      </c>
      <c r="G299" s="32">
        <v>45</v>
      </c>
      <c r="H299" s="43"/>
      <c r="I299" s="47"/>
      <c r="J299" s="49"/>
    </row>
    <row r="300" spans="1:10" ht="5.25" customHeight="1" x14ac:dyDescent="0.35">
      <c r="D300" s="35"/>
      <c r="E300" s="33"/>
      <c r="F300" s="36"/>
      <c r="G300" s="36"/>
      <c r="J300" s="38"/>
    </row>
    <row r="301" spans="1:10" ht="12.75" customHeight="1" x14ac:dyDescent="0.35">
      <c r="A301" s="50"/>
      <c r="B301" s="52" t="s">
        <v>79</v>
      </c>
      <c r="C301" s="11" t="s">
        <v>1</v>
      </c>
      <c r="D301" s="37">
        <f t="shared" ref="D301:G302" si="4">SUM(D274+D277+D280+D283+D286+D289+D292+D295+D298)</f>
        <v>25857</v>
      </c>
      <c r="E301" s="37">
        <f t="shared" si="4"/>
        <v>542</v>
      </c>
      <c r="F301" s="37">
        <f t="shared" si="4"/>
        <v>18497</v>
      </c>
      <c r="G301" s="37">
        <f t="shared" si="4"/>
        <v>371</v>
      </c>
      <c r="H301" s="50" t="s">
        <v>76</v>
      </c>
      <c r="I301" s="54" t="s">
        <v>64</v>
      </c>
      <c r="J301" s="56"/>
    </row>
    <row r="302" spans="1:10" x14ac:dyDescent="0.35">
      <c r="A302" s="51"/>
      <c r="B302" s="53"/>
      <c r="C302" s="11" t="s">
        <v>2</v>
      </c>
      <c r="D302" s="37">
        <f t="shared" si="4"/>
        <v>36635</v>
      </c>
      <c r="E302" s="37">
        <f t="shared" si="4"/>
        <v>653</v>
      </c>
      <c r="F302" s="37">
        <f t="shared" si="4"/>
        <v>12436</v>
      </c>
      <c r="G302" s="37">
        <f t="shared" si="4"/>
        <v>219</v>
      </c>
      <c r="H302" s="51"/>
      <c r="I302" s="55"/>
      <c r="J302" s="57"/>
    </row>
    <row r="303" spans="1:10" ht="7.5" customHeight="1" x14ac:dyDescent="0.35"/>
    <row r="304" spans="1:10" ht="13.5" customHeight="1" x14ac:dyDescent="0.35">
      <c r="A304" s="42">
        <v>78</v>
      </c>
      <c r="B304" s="44">
        <v>44166</v>
      </c>
      <c r="C304" s="7" t="s">
        <v>1</v>
      </c>
      <c r="D304" s="41">
        <f>1019+F304</f>
        <v>4343</v>
      </c>
      <c r="E304" s="32">
        <f>22+G304</f>
        <v>90</v>
      </c>
      <c r="F304" s="32">
        <v>3324</v>
      </c>
      <c r="G304" s="32">
        <v>68</v>
      </c>
      <c r="H304" s="42" t="s">
        <v>24</v>
      </c>
      <c r="I304" s="46" t="s">
        <v>8</v>
      </c>
      <c r="J304" s="48"/>
    </row>
    <row r="305" spans="1:10" x14ac:dyDescent="0.35">
      <c r="A305" s="43"/>
      <c r="B305" s="45"/>
      <c r="C305" s="7" t="s">
        <v>2</v>
      </c>
      <c r="D305" s="34">
        <f>1331+F305</f>
        <v>2594</v>
      </c>
      <c r="E305" s="32">
        <f>25+G305</f>
        <v>44</v>
      </c>
      <c r="F305" s="32">
        <v>1263</v>
      </c>
      <c r="G305" s="32">
        <v>19</v>
      </c>
      <c r="H305" s="43"/>
      <c r="I305" s="47"/>
      <c r="J305" s="49"/>
    </row>
    <row r="306" spans="1:10" ht="5.25" customHeight="1" x14ac:dyDescent="0.35">
      <c r="D306" s="35"/>
      <c r="E306" s="33"/>
      <c r="F306" s="36"/>
      <c r="G306" s="36"/>
      <c r="J306" s="38"/>
    </row>
    <row r="307" spans="1:10" x14ac:dyDescent="0.35">
      <c r="A307" s="42">
        <v>79</v>
      </c>
      <c r="B307" s="44">
        <v>44168</v>
      </c>
      <c r="C307" s="7" t="s">
        <v>1</v>
      </c>
      <c r="D307" s="34">
        <f>819+F307</f>
        <v>3268</v>
      </c>
      <c r="E307" s="32">
        <f>21+G307</f>
        <v>70</v>
      </c>
      <c r="F307" s="32">
        <v>2449</v>
      </c>
      <c r="G307" s="32">
        <v>49</v>
      </c>
      <c r="H307" s="42" t="s">
        <v>28</v>
      </c>
      <c r="I307" s="46" t="s">
        <v>8</v>
      </c>
      <c r="J307" s="48"/>
    </row>
    <row r="308" spans="1:10" x14ac:dyDescent="0.35">
      <c r="A308" s="43"/>
      <c r="B308" s="45"/>
      <c r="C308" s="7" t="s">
        <v>2</v>
      </c>
      <c r="D308" s="34">
        <f>1689+F308</f>
        <v>2745</v>
      </c>
      <c r="E308" s="32">
        <f>33+G308</f>
        <v>51</v>
      </c>
      <c r="F308" s="32">
        <v>1056</v>
      </c>
      <c r="G308" s="32">
        <v>18</v>
      </c>
      <c r="H308" s="43"/>
      <c r="I308" s="47"/>
      <c r="J308" s="49"/>
    </row>
    <row r="309" spans="1:10" ht="5.25" customHeight="1" x14ac:dyDescent="0.35">
      <c r="A309" s="2"/>
      <c r="B309" s="2"/>
      <c r="C309" s="2"/>
      <c r="D309" s="35"/>
      <c r="E309" s="33"/>
      <c r="F309" s="40"/>
      <c r="G309" s="40"/>
      <c r="H309" s="2"/>
      <c r="I309" s="2"/>
      <c r="J309" s="39"/>
    </row>
    <row r="310" spans="1:10" x14ac:dyDescent="0.35">
      <c r="A310" s="42">
        <v>80</v>
      </c>
      <c r="B310" s="44">
        <v>44172</v>
      </c>
      <c r="C310" s="7" t="s">
        <v>1</v>
      </c>
      <c r="D310" s="34">
        <f>324+F310</f>
        <v>2284</v>
      </c>
      <c r="E310" s="32">
        <f>7+G310</f>
        <v>45</v>
      </c>
      <c r="F310" s="32">
        <v>1960</v>
      </c>
      <c r="G310" s="32">
        <v>38</v>
      </c>
      <c r="H310" s="42" t="s">
        <v>50</v>
      </c>
      <c r="I310" s="46" t="s">
        <v>8</v>
      </c>
      <c r="J310" s="60"/>
    </row>
    <row r="311" spans="1:10" x14ac:dyDescent="0.35">
      <c r="A311" s="43"/>
      <c r="B311" s="45"/>
      <c r="C311" s="7" t="s">
        <v>2</v>
      </c>
      <c r="D311" s="34">
        <f>2867+F311</f>
        <v>3585</v>
      </c>
      <c r="E311" s="32">
        <f>52+G311</f>
        <v>66</v>
      </c>
      <c r="F311" s="32">
        <v>718</v>
      </c>
      <c r="G311" s="32">
        <v>14</v>
      </c>
      <c r="H311" s="43"/>
      <c r="I311" s="47"/>
      <c r="J311" s="61"/>
    </row>
    <row r="312" spans="1:10" ht="5.25" customHeight="1" x14ac:dyDescent="0.35">
      <c r="A312" s="2"/>
      <c r="B312" s="2"/>
      <c r="C312" s="2"/>
      <c r="D312" s="35"/>
      <c r="E312" s="33"/>
      <c r="F312" s="33"/>
      <c r="G312" s="33"/>
      <c r="H312" s="2"/>
      <c r="I312" s="2"/>
      <c r="J312" s="7"/>
    </row>
    <row r="313" spans="1:10" x14ac:dyDescent="0.35">
      <c r="A313" s="42">
        <v>81</v>
      </c>
      <c r="B313" s="44">
        <v>44173</v>
      </c>
      <c r="C313" s="7" t="s">
        <v>1</v>
      </c>
      <c r="D313" s="34">
        <f>1781+F313</f>
        <v>5563</v>
      </c>
      <c r="E313" s="32">
        <f>42+G313</f>
        <v>124</v>
      </c>
      <c r="F313" s="32">
        <v>3782</v>
      </c>
      <c r="G313" s="32">
        <v>82</v>
      </c>
      <c r="H313" s="42" t="s">
        <v>27</v>
      </c>
      <c r="I313" s="46" t="s">
        <v>8</v>
      </c>
      <c r="J313" s="48" t="s">
        <v>81</v>
      </c>
    </row>
    <row r="314" spans="1:10" x14ac:dyDescent="0.35">
      <c r="A314" s="43"/>
      <c r="B314" s="45"/>
      <c r="C314" s="7" t="s">
        <v>2</v>
      </c>
      <c r="D314" s="34">
        <f>8453+F314</f>
        <v>10899</v>
      </c>
      <c r="E314" s="32">
        <f>149+G314</f>
        <v>192</v>
      </c>
      <c r="F314" s="32">
        <v>2446</v>
      </c>
      <c r="G314" s="32">
        <v>43</v>
      </c>
      <c r="H314" s="43"/>
      <c r="I314" s="47"/>
      <c r="J314" s="49"/>
    </row>
    <row r="315" spans="1:10" ht="5.25" customHeight="1" x14ac:dyDescent="0.35">
      <c r="D315" s="35"/>
      <c r="E315" s="33"/>
      <c r="F315" s="36"/>
      <c r="G315" s="36"/>
      <c r="J315" s="38"/>
    </row>
    <row r="316" spans="1:10" x14ac:dyDescent="0.35">
      <c r="A316" s="42">
        <v>82</v>
      </c>
      <c r="B316" s="44">
        <v>44179</v>
      </c>
      <c r="C316" s="7" t="s">
        <v>1</v>
      </c>
      <c r="D316" s="34">
        <f>1550+F316</f>
        <v>3022</v>
      </c>
      <c r="E316" s="32">
        <f>39+G316</f>
        <v>76</v>
      </c>
      <c r="F316" s="32">
        <v>1472</v>
      </c>
      <c r="G316" s="32">
        <v>37</v>
      </c>
      <c r="H316" s="58" t="s">
        <v>50</v>
      </c>
      <c r="I316" s="46" t="s">
        <v>8</v>
      </c>
      <c r="J316" s="48"/>
    </row>
    <row r="317" spans="1:10" x14ac:dyDescent="0.35">
      <c r="A317" s="43"/>
      <c r="B317" s="45"/>
      <c r="C317" s="7" t="s">
        <v>2</v>
      </c>
      <c r="D317" s="34">
        <f>4397+F317</f>
        <v>5322</v>
      </c>
      <c r="E317" s="32">
        <f>75+G317</f>
        <v>93</v>
      </c>
      <c r="F317" s="32">
        <v>925</v>
      </c>
      <c r="G317" s="32">
        <v>18</v>
      </c>
      <c r="H317" s="59"/>
      <c r="I317" s="47"/>
      <c r="J317" s="49"/>
    </row>
    <row r="318" spans="1:10" ht="3.75" customHeight="1" x14ac:dyDescent="0.35"/>
    <row r="319" spans="1:10" ht="13.5" customHeight="1" x14ac:dyDescent="0.35">
      <c r="A319" s="42">
        <v>83</v>
      </c>
      <c r="B319" s="44">
        <v>44180</v>
      </c>
      <c r="C319" s="7" t="s">
        <v>1</v>
      </c>
      <c r="D319" s="34">
        <f>4223+F319</f>
        <v>6291</v>
      </c>
      <c r="E319" s="32">
        <f>104+G319</f>
        <v>156</v>
      </c>
      <c r="F319" s="32">
        <v>2068</v>
      </c>
      <c r="G319" s="32">
        <v>52</v>
      </c>
      <c r="H319" s="42" t="s">
        <v>23</v>
      </c>
      <c r="I319" s="46" t="s">
        <v>8</v>
      </c>
      <c r="J319" s="48" t="s">
        <v>82</v>
      </c>
    </row>
    <row r="320" spans="1:10" x14ac:dyDescent="0.35">
      <c r="A320" s="43"/>
      <c r="B320" s="45"/>
      <c r="C320" s="7" t="s">
        <v>2</v>
      </c>
      <c r="D320" s="34">
        <f>9732+F320</f>
        <v>10501</v>
      </c>
      <c r="E320" s="32">
        <f>179+G320</f>
        <v>193</v>
      </c>
      <c r="F320" s="32">
        <v>769</v>
      </c>
      <c r="G320" s="32">
        <v>14</v>
      </c>
      <c r="H320" s="43"/>
      <c r="I320" s="47"/>
      <c r="J320" s="49"/>
    </row>
    <row r="321" spans="1:10" ht="5.25" customHeight="1" x14ac:dyDescent="0.35">
      <c r="D321" s="35"/>
      <c r="E321" s="33"/>
      <c r="F321" s="36"/>
      <c r="G321" s="36"/>
      <c r="J321" s="38"/>
    </row>
    <row r="322" spans="1:10" x14ac:dyDescent="0.35">
      <c r="A322" s="42">
        <v>84</v>
      </c>
      <c r="B322" s="44">
        <v>44182</v>
      </c>
      <c r="C322" s="7" t="s">
        <v>1</v>
      </c>
      <c r="D322" s="34">
        <f>1433+F322</f>
        <v>7159</v>
      </c>
      <c r="E322" s="32">
        <f>37+G322</f>
        <v>170</v>
      </c>
      <c r="F322" s="32">
        <v>5726</v>
      </c>
      <c r="G322" s="32">
        <v>133</v>
      </c>
      <c r="H322" s="42" t="s">
        <v>75</v>
      </c>
      <c r="I322" s="46" t="s">
        <v>8</v>
      </c>
      <c r="J322" s="48" t="s">
        <v>83</v>
      </c>
    </row>
    <row r="323" spans="1:10" x14ac:dyDescent="0.35">
      <c r="A323" s="43"/>
      <c r="B323" s="45"/>
      <c r="C323" s="7" t="s">
        <v>2</v>
      </c>
      <c r="D323" s="34">
        <f>4198+F323</f>
        <v>5979</v>
      </c>
      <c r="E323" s="32">
        <f>72+G323</f>
        <v>107</v>
      </c>
      <c r="F323" s="32">
        <v>1781</v>
      </c>
      <c r="G323" s="32">
        <v>35</v>
      </c>
      <c r="H323" s="43"/>
      <c r="I323" s="47"/>
      <c r="J323" s="49"/>
    </row>
    <row r="324" spans="1:10" ht="5.25" customHeight="1" x14ac:dyDescent="0.35">
      <c r="A324" s="2"/>
      <c r="B324" s="2"/>
      <c r="C324" s="2"/>
      <c r="D324" s="35"/>
      <c r="E324" s="33"/>
      <c r="F324" s="33"/>
      <c r="G324" s="33"/>
      <c r="H324" s="2"/>
      <c r="I324" s="2"/>
      <c r="J324" s="39"/>
    </row>
    <row r="325" spans="1:10" x14ac:dyDescent="0.35">
      <c r="A325" s="42">
        <v>85</v>
      </c>
      <c r="B325" s="44">
        <v>44184</v>
      </c>
      <c r="C325" s="7" t="s">
        <v>1</v>
      </c>
      <c r="D325" s="34">
        <f>2667+F325</f>
        <v>4665</v>
      </c>
      <c r="E325" s="32">
        <f>68+G325</f>
        <v>109</v>
      </c>
      <c r="F325" s="32">
        <v>1998</v>
      </c>
      <c r="G325" s="32">
        <v>41</v>
      </c>
      <c r="H325" s="42" t="s">
        <v>11</v>
      </c>
      <c r="I325" s="46" t="s">
        <v>8</v>
      </c>
      <c r="J325" s="48" t="s">
        <v>84</v>
      </c>
    </row>
    <row r="326" spans="1:10" x14ac:dyDescent="0.35">
      <c r="A326" s="43"/>
      <c r="B326" s="45"/>
      <c r="C326" s="7" t="s">
        <v>2</v>
      </c>
      <c r="D326" s="34">
        <f>6072+F326</f>
        <v>7486</v>
      </c>
      <c r="E326" s="32">
        <f>107+G326</f>
        <v>130</v>
      </c>
      <c r="F326" s="32">
        <v>1414</v>
      </c>
      <c r="G326" s="32">
        <v>23</v>
      </c>
      <c r="H326" s="43"/>
      <c r="I326" s="47"/>
      <c r="J326" s="49"/>
    </row>
    <row r="327" spans="1:10" ht="5.25" customHeight="1" x14ac:dyDescent="0.35">
      <c r="A327" s="2"/>
      <c r="B327" s="2"/>
      <c r="C327" s="2"/>
      <c r="D327" s="35"/>
      <c r="E327" s="33"/>
      <c r="F327" s="33"/>
      <c r="G327" s="33"/>
      <c r="H327" s="2"/>
      <c r="I327" s="2"/>
      <c r="J327" s="7"/>
    </row>
    <row r="328" spans="1:10" ht="18" customHeight="1" x14ac:dyDescent="0.35">
      <c r="A328" s="42">
        <v>86</v>
      </c>
      <c r="B328" s="44">
        <v>44187</v>
      </c>
      <c r="C328" s="7" t="s">
        <v>1</v>
      </c>
      <c r="D328" s="34">
        <f>3474+F328</f>
        <v>7291</v>
      </c>
      <c r="E328" s="32">
        <f>93+G328</f>
        <v>182</v>
      </c>
      <c r="F328" s="32">
        <v>3817</v>
      </c>
      <c r="G328" s="32">
        <v>89</v>
      </c>
      <c r="H328" s="42" t="s">
        <v>11</v>
      </c>
      <c r="I328" s="46" t="s">
        <v>8</v>
      </c>
      <c r="J328" s="48" t="s">
        <v>86</v>
      </c>
    </row>
    <row r="329" spans="1:10" ht="18" customHeight="1" x14ac:dyDescent="0.35">
      <c r="A329" s="43"/>
      <c r="B329" s="45"/>
      <c r="C329" s="7" t="s">
        <v>2</v>
      </c>
      <c r="D329" s="34">
        <f>4086+F329</f>
        <v>5422</v>
      </c>
      <c r="E329" s="32">
        <f>77+G329</f>
        <v>101</v>
      </c>
      <c r="F329" s="32">
        <v>1336</v>
      </c>
      <c r="G329" s="32">
        <v>24</v>
      </c>
      <c r="H329" s="43"/>
      <c r="I329" s="47"/>
      <c r="J329" s="49"/>
    </row>
    <row r="330" spans="1:10" ht="5.25" customHeight="1" x14ac:dyDescent="0.35">
      <c r="D330" s="35"/>
      <c r="E330" s="33"/>
      <c r="F330" s="36"/>
      <c r="G330" s="36"/>
      <c r="J330" s="38"/>
    </row>
    <row r="331" spans="1:10" ht="12.75" customHeight="1" x14ac:dyDescent="0.35">
      <c r="A331" s="50"/>
      <c r="B331" s="52" t="s">
        <v>80</v>
      </c>
      <c r="C331" s="11" t="s">
        <v>1</v>
      </c>
      <c r="D331" s="37">
        <f t="shared" ref="D331:G332" si="5">SUM(D304+D307+D310+D313+D316+D319+D322+D325+D328)</f>
        <v>43886</v>
      </c>
      <c r="E331" s="37">
        <f t="shared" si="5"/>
        <v>1022</v>
      </c>
      <c r="F331" s="37">
        <f t="shared" si="5"/>
        <v>26596</v>
      </c>
      <c r="G331" s="37">
        <f t="shared" si="5"/>
        <v>589</v>
      </c>
      <c r="H331" s="50" t="s">
        <v>85</v>
      </c>
      <c r="I331" s="54" t="s">
        <v>64</v>
      </c>
      <c r="J331" s="56"/>
    </row>
    <row r="332" spans="1:10" x14ac:dyDescent="0.35">
      <c r="A332" s="51"/>
      <c r="B332" s="53"/>
      <c r="C332" s="11" t="s">
        <v>2</v>
      </c>
      <c r="D332" s="37">
        <f t="shared" si="5"/>
        <v>54533</v>
      </c>
      <c r="E332" s="37">
        <f t="shared" si="5"/>
        <v>977</v>
      </c>
      <c r="F332" s="37">
        <f t="shared" si="5"/>
        <v>11708</v>
      </c>
      <c r="G332" s="37">
        <f t="shared" si="5"/>
        <v>208</v>
      </c>
      <c r="H332" s="51"/>
      <c r="I332" s="55"/>
      <c r="J332" s="57"/>
    </row>
    <row r="333" spans="1:10" s="12" customFormat="1" ht="15" customHeight="1" x14ac:dyDescent="0.35">
      <c r="A333" s="82"/>
      <c r="B333" s="84" t="s">
        <v>87</v>
      </c>
      <c r="C333" s="30" t="s">
        <v>1</v>
      </c>
      <c r="D333" s="94">
        <f>SUM(D93+D108+D126+D132+D159+D174+D195+D222+D223+D239+D240+D271+D272+D301+D302+D331+D332)</f>
        <v>480837</v>
      </c>
      <c r="E333" s="94">
        <f>SUM(E93+E108+E126+E132+E159+E174+E195+E222+E223+E239+E240+E271+E272+E301+E302+E331+E332)</f>
        <v>10521</v>
      </c>
      <c r="F333" s="31">
        <f>SUM(F93+F108+F126+F132+F159+F174+F195+F222+F239+F271+F301+F331)</f>
        <v>94035</v>
      </c>
      <c r="G333" s="31">
        <f>SUM(G93+G108+G126+G132+G159+G174+G195+G222+G239+G271+G301+G331)</f>
        <v>2346</v>
      </c>
      <c r="H333" s="82" t="s">
        <v>88</v>
      </c>
      <c r="I333" s="80"/>
      <c r="J333" s="80"/>
    </row>
    <row r="334" spans="1:10" s="12" customFormat="1" ht="15.75" customHeight="1" x14ac:dyDescent="0.35">
      <c r="A334" s="83"/>
      <c r="B334" s="85"/>
      <c r="C334" s="30" t="s">
        <v>2</v>
      </c>
      <c r="D334" s="83"/>
      <c r="E334" s="83"/>
      <c r="F334" s="31">
        <f>SUM(F94+F109+F127+F133+F160+F175+F196+F223+F240+F272+F302+F332)</f>
        <v>51092</v>
      </c>
      <c r="G334" s="31">
        <f>SUM(G94+G109+G127+G133+G160+G175+G196+G223+G240+G272+G302+G332)</f>
        <v>1027</v>
      </c>
      <c r="H334" s="83"/>
      <c r="I334" s="81"/>
      <c r="J334" s="81"/>
    </row>
  </sheetData>
  <mergeCells count="693">
    <mergeCell ref="A333:A334"/>
    <mergeCell ref="B333:B334"/>
    <mergeCell ref="D333:D334"/>
    <mergeCell ref="E333:E334"/>
    <mergeCell ref="H333:H334"/>
    <mergeCell ref="I333:I334"/>
    <mergeCell ref="J333:J334"/>
    <mergeCell ref="A271:A272"/>
    <mergeCell ref="B271:B272"/>
    <mergeCell ref="H271:H272"/>
    <mergeCell ref="I271:I272"/>
    <mergeCell ref="J271:J272"/>
    <mergeCell ref="A274:A275"/>
    <mergeCell ref="B274:B275"/>
    <mergeCell ref="H274:H275"/>
    <mergeCell ref="I274:I275"/>
    <mergeCell ref="J274:J275"/>
    <mergeCell ref="A277:A278"/>
    <mergeCell ref="B277:B278"/>
    <mergeCell ref="H277:H278"/>
    <mergeCell ref="I277:I278"/>
    <mergeCell ref="J277:J278"/>
    <mergeCell ref="A280:A281"/>
    <mergeCell ref="B280:B281"/>
    <mergeCell ref="A222:A223"/>
    <mergeCell ref="B222:B223"/>
    <mergeCell ref="H222:H223"/>
    <mergeCell ref="I222:I223"/>
    <mergeCell ref="J222:J223"/>
    <mergeCell ref="A224:A225"/>
    <mergeCell ref="B224:B225"/>
    <mergeCell ref="H224:H225"/>
    <mergeCell ref="I224:I225"/>
    <mergeCell ref="J224:J225"/>
    <mergeCell ref="A227:A228"/>
    <mergeCell ref="B227:B228"/>
    <mergeCell ref="H227:H228"/>
    <mergeCell ref="I227:I228"/>
    <mergeCell ref="J227:J228"/>
    <mergeCell ref="A230:A231"/>
    <mergeCell ref="B230:B231"/>
    <mergeCell ref="H230:H231"/>
    <mergeCell ref="I230:I231"/>
    <mergeCell ref="J230:J231"/>
    <mergeCell ref="A216:A217"/>
    <mergeCell ref="B216:B217"/>
    <mergeCell ref="H216:H217"/>
    <mergeCell ref="I216:I217"/>
    <mergeCell ref="J216:J217"/>
    <mergeCell ref="A219:A220"/>
    <mergeCell ref="B219:B220"/>
    <mergeCell ref="H219:H220"/>
    <mergeCell ref="I219:I220"/>
    <mergeCell ref="J219:J220"/>
    <mergeCell ref="A210:A211"/>
    <mergeCell ref="B210:B211"/>
    <mergeCell ref="H210:H211"/>
    <mergeCell ref="I210:I211"/>
    <mergeCell ref="J210:J211"/>
    <mergeCell ref="A213:A214"/>
    <mergeCell ref="B213:B214"/>
    <mergeCell ref="H213:H214"/>
    <mergeCell ref="I213:I214"/>
    <mergeCell ref="J213:J214"/>
    <mergeCell ref="A204:A205"/>
    <mergeCell ref="B204:B205"/>
    <mergeCell ref="H204:H205"/>
    <mergeCell ref="I204:I205"/>
    <mergeCell ref="J204:J205"/>
    <mergeCell ref="A207:A208"/>
    <mergeCell ref="B207:B208"/>
    <mergeCell ref="H207:H208"/>
    <mergeCell ref="I207:I208"/>
    <mergeCell ref="J207:J208"/>
    <mergeCell ref="A198:A199"/>
    <mergeCell ref="B198:B199"/>
    <mergeCell ref="H198:H199"/>
    <mergeCell ref="I198:I199"/>
    <mergeCell ref="J198:J199"/>
    <mergeCell ref="A201:A202"/>
    <mergeCell ref="B201:B202"/>
    <mergeCell ref="H201:H202"/>
    <mergeCell ref="I201:I202"/>
    <mergeCell ref="J201:J202"/>
    <mergeCell ref="A195:A196"/>
    <mergeCell ref="B195:B196"/>
    <mergeCell ref="D195:D196"/>
    <mergeCell ref="E195:E196"/>
    <mergeCell ref="H195:H196"/>
    <mergeCell ref="I195:I196"/>
    <mergeCell ref="J195:J196"/>
    <mergeCell ref="E189:E190"/>
    <mergeCell ref="D189:D190"/>
    <mergeCell ref="A189:A190"/>
    <mergeCell ref="B189:B190"/>
    <mergeCell ref="H189:H190"/>
    <mergeCell ref="I189:I190"/>
    <mergeCell ref="J189:J190"/>
    <mergeCell ref="A192:A193"/>
    <mergeCell ref="B192:B193"/>
    <mergeCell ref="H192:H193"/>
    <mergeCell ref="I192:I193"/>
    <mergeCell ref="J192:J193"/>
    <mergeCell ref="A183:A184"/>
    <mergeCell ref="B183:B184"/>
    <mergeCell ref="H183:H184"/>
    <mergeCell ref="I183:I184"/>
    <mergeCell ref="J183:J184"/>
    <mergeCell ref="A186:A187"/>
    <mergeCell ref="B186:B187"/>
    <mergeCell ref="H186:H187"/>
    <mergeCell ref="I186:I187"/>
    <mergeCell ref="J186:J187"/>
    <mergeCell ref="A177:A178"/>
    <mergeCell ref="B177:B178"/>
    <mergeCell ref="H177:H178"/>
    <mergeCell ref="I177:I178"/>
    <mergeCell ref="J177:J178"/>
    <mergeCell ref="A180:A181"/>
    <mergeCell ref="B180:B181"/>
    <mergeCell ref="H180:H181"/>
    <mergeCell ref="I180:I181"/>
    <mergeCell ref="J180:J181"/>
    <mergeCell ref="A174:A175"/>
    <mergeCell ref="B174:B175"/>
    <mergeCell ref="D174:D175"/>
    <mergeCell ref="E174:E175"/>
    <mergeCell ref="H174:H175"/>
    <mergeCell ref="I174:I175"/>
    <mergeCell ref="J174:J175"/>
    <mergeCell ref="A168:A169"/>
    <mergeCell ref="B168:B169"/>
    <mergeCell ref="D168:D169"/>
    <mergeCell ref="E168:E169"/>
    <mergeCell ref="H168:H169"/>
    <mergeCell ref="I168:I169"/>
    <mergeCell ref="J168:J169"/>
    <mergeCell ref="A171:A172"/>
    <mergeCell ref="B171:B172"/>
    <mergeCell ref="D171:D172"/>
    <mergeCell ref="E171:E172"/>
    <mergeCell ref="H171:H172"/>
    <mergeCell ref="I171:I172"/>
    <mergeCell ref="J171:J172"/>
    <mergeCell ref="A162:A163"/>
    <mergeCell ref="B162:B163"/>
    <mergeCell ref="D162:D163"/>
    <mergeCell ref="E162:E163"/>
    <mergeCell ref="H162:H163"/>
    <mergeCell ref="I162:I163"/>
    <mergeCell ref="J162:J163"/>
    <mergeCell ref="A165:A166"/>
    <mergeCell ref="B165:B166"/>
    <mergeCell ref="D165:D166"/>
    <mergeCell ref="E165:E166"/>
    <mergeCell ref="H165:H166"/>
    <mergeCell ref="I165:I166"/>
    <mergeCell ref="J165:J166"/>
    <mergeCell ref="E150:E151"/>
    <mergeCell ref="H150:H151"/>
    <mergeCell ref="I150:I151"/>
    <mergeCell ref="J150:J151"/>
    <mergeCell ref="A153:A154"/>
    <mergeCell ref="B153:B154"/>
    <mergeCell ref="D153:D154"/>
    <mergeCell ref="E153:E154"/>
    <mergeCell ref="H153:H154"/>
    <mergeCell ref="I153:I154"/>
    <mergeCell ref="J153:J154"/>
    <mergeCell ref="A108:A109"/>
    <mergeCell ref="B108:B109"/>
    <mergeCell ref="D108:D109"/>
    <mergeCell ref="E108:E109"/>
    <mergeCell ref="H108:H109"/>
    <mergeCell ref="I108:I109"/>
    <mergeCell ref="J108:J109"/>
    <mergeCell ref="A105:A106"/>
    <mergeCell ref="B105:B106"/>
    <mergeCell ref="D105:D106"/>
    <mergeCell ref="E105:E106"/>
    <mergeCell ref="H105:H106"/>
    <mergeCell ref="I105:I106"/>
    <mergeCell ref="J105:J106"/>
    <mergeCell ref="A102:A103"/>
    <mergeCell ref="B102:B103"/>
    <mergeCell ref="D102:D103"/>
    <mergeCell ref="E102:E103"/>
    <mergeCell ref="H102:H103"/>
    <mergeCell ref="I102:I103"/>
    <mergeCell ref="J102:J103"/>
    <mergeCell ref="A96:A97"/>
    <mergeCell ref="B96:B97"/>
    <mergeCell ref="D96:D97"/>
    <mergeCell ref="E96:E97"/>
    <mergeCell ref="H96:H97"/>
    <mergeCell ref="I96:I97"/>
    <mergeCell ref="J96:J97"/>
    <mergeCell ref="A99:A100"/>
    <mergeCell ref="B99:B100"/>
    <mergeCell ref="D99:D100"/>
    <mergeCell ref="E99:E100"/>
    <mergeCell ref="H99:H100"/>
    <mergeCell ref="I99:I100"/>
    <mergeCell ref="J99:J100"/>
    <mergeCell ref="I84:I85"/>
    <mergeCell ref="J84:J85"/>
    <mergeCell ref="A84:A85"/>
    <mergeCell ref="B84:B85"/>
    <mergeCell ref="D84:D85"/>
    <mergeCell ref="E84:E85"/>
    <mergeCell ref="H84:H85"/>
    <mergeCell ref="I82:I83"/>
    <mergeCell ref="J82:J83"/>
    <mergeCell ref="A82:A83"/>
    <mergeCell ref="B82:B83"/>
    <mergeCell ref="D82:D83"/>
    <mergeCell ref="E82:E83"/>
    <mergeCell ref="H82:H83"/>
    <mergeCell ref="D37:D38"/>
    <mergeCell ref="E37:E38"/>
    <mergeCell ref="D40:D41"/>
    <mergeCell ref="E40:E41"/>
    <mergeCell ref="D19:D20"/>
    <mergeCell ref="E19:E20"/>
    <mergeCell ref="D22:D23"/>
    <mergeCell ref="E22:E23"/>
    <mergeCell ref="D28:D29"/>
    <mergeCell ref="E28:E29"/>
    <mergeCell ref="E25:E26"/>
    <mergeCell ref="D25:D26"/>
    <mergeCell ref="D31:D32"/>
    <mergeCell ref="E31:E32"/>
    <mergeCell ref="I79:I80"/>
    <mergeCell ref="J79:J80"/>
    <mergeCell ref="D79:D80"/>
    <mergeCell ref="E79:E80"/>
    <mergeCell ref="A76:A77"/>
    <mergeCell ref="B76:B77"/>
    <mergeCell ref="H76:H77"/>
    <mergeCell ref="I76:I77"/>
    <mergeCell ref="J76:J77"/>
    <mergeCell ref="D76:D77"/>
    <mergeCell ref="E76:E77"/>
    <mergeCell ref="A79:A80"/>
    <mergeCell ref="B79:B80"/>
    <mergeCell ref="H79:H80"/>
    <mergeCell ref="I73:I74"/>
    <mergeCell ref="J73:J74"/>
    <mergeCell ref="D73:D74"/>
    <mergeCell ref="E73:E74"/>
    <mergeCell ref="A70:A71"/>
    <mergeCell ref="B70:B71"/>
    <mergeCell ref="H70:H71"/>
    <mergeCell ref="I70:I71"/>
    <mergeCell ref="J70:J71"/>
    <mergeCell ref="D70:D71"/>
    <mergeCell ref="E70:E71"/>
    <mergeCell ref="A73:A74"/>
    <mergeCell ref="B73:B74"/>
    <mergeCell ref="H73:H74"/>
    <mergeCell ref="I67:I68"/>
    <mergeCell ref="J67:J68"/>
    <mergeCell ref="D67:D68"/>
    <mergeCell ref="E67:E68"/>
    <mergeCell ref="A64:A65"/>
    <mergeCell ref="B64:B65"/>
    <mergeCell ref="H64:H65"/>
    <mergeCell ref="I64:I65"/>
    <mergeCell ref="J64:J65"/>
    <mergeCell ref="D64:D65"/>
    <mergeCell ref="E64:E65"/>
    <mergeCell ref="A67:A68"/>
    <mergeCell ref="B67:B68"/>
    <mergeCell ref="H67:H68"/>
    <mergeCell ref="I61:I62"/>
    <mergeCell ref="J61:J62"/>
    <mergeCell ref="D61:D62"/>
    <mergeCell ref="E61:E62"/>
    <mergeCell ref="H55:H56"/>
    <mergeCell ref="I55:I56"/>
    <mergeCell ref="J55:J56"/>
    <mergeCell ref="A58:A59"/>
    <mergeCell ref="B58:B59"/>
    <mergeCell ref="H58:H59"/>
    <mergeCell ref="I58:I59"/>
    <mergeCell ref="J58:J59"/>
    <mergeCell ref="D55:D56"/>
    <mergeCell ref="E55:E56"/>
    <mergeCell ref="D58:D59"/>
    <mergeCell ref="E58:E59"/>
    <mergeCell ref="A55:A56"/>
    <mergeCell ref="B55:B56"/>
    <mergeCell ref="A61:A62"/>
    <mergeCell ref="B61:B62"/>
    <mergeCell ref="H61:H62"/>
    <mergeCell ref="I49:I50"/>
    <mergeCell ref="J49:J50"/>
    <mergeCell ref="A52:A53"/>
    <mergeCell ref="B52:B53"/>
    <mergeCell ref="H52:H53"/>
    <mergeCell ref="I52:I53"/>
    <mergeCell ref="J52:J53"/>
    <mergeCell ref="A46:A47"/>
    <mergeCell ref="B46:B47"/>
    <mergeCell ref="H46:H47"/>
    <mergeCell ref="I46:I47"/>
    <mergeCell ref="J46:J47"/>
    <mergeCell ref="D46:D47"/>
    <mergeCell ref="E46:E47"/>
    <mergeCell ref="D52:D53"/>
    <mergeCell ref="E52:E53"/>
    <mergeCell ref="D49:D50"/>
    <mergeCell ref="E49:E50"/>
    <mergeCell ref="A49:A50"/>
    <mergeCell ref="B49:B50"/>
    <mergeCell ref="H49:H50"/>
    <mergeCell ref="H40:H41"/>
    <mergeCell ref="I40:I41"/>
    <mergeCell ref="J40:J41"/>
    <mergeCell ref="A43:A44"/>
    <mergeCell ref="B43:B44"/>
    <mergeCell ref="H43:H44"/>
    <mergeCell ref="I43:I44"/>
    <mergeCell ref="J43:J44"/>
    <mergeCell ref="B40:B41"/>
    <mergeCell ref="A40:A41"/>
    <mergeCell ref="D43:D44"/>
    <mergeCell ref="E43:E44"/>
    <mergeCell ref="A1:J1"/>
    <mergeCell ref="D3:E3"/>
    <mergeCell ref="H5:H6"/>
    <mergeCell ref="I5:I6"/>
    <mergeCell ref="I8:I9"/>
    <mergeCell ref="D5:D6"/>
    <mergeCell ref="E5:E6"/>
    <mergeCell ref="D8:D9"/>
    <mergeCell ref="E8:E9"/>
    <mergeCell ref="H8:H9"/>
    <mergeCell ref="A5:A6"/>
    <mergeCell ref="B5:B6"/>
    <mergeCell ref="B8:B9"/>
    <mergeCell ref="A8:A9"/>
    <mergeCell ref="H16:H17"/>
    <mergeCell ref="D14:D15"/>
    <mergeCell ref="E14:E15"/>
    <mergeCell ref="D16:D17"/>
    <mergeCell ref="E16:E17"/>
    <mergeCell ref="F3:G3"/>
    <mergeCell ref="C3:C4"/>
    <mergeCell ref="B3:B4"/>
    <mergeCell ref="A3:A4"/>
    <mergeCell ref="I11:I12"/>
    <mergeCell ref="I14:I15"/>
    <mergeCell ref="I19:I20"/>
    <mergeCell ref="A22:A23"/>
    <mergeCell ref="B22:B23"/>
    <mergeCell ref="H22:H23"/>
    <mergeCell ref="I22:I23"/>
    <mergeCell ref="A25:A26"/>
    <mergeCell ref="B25:B26"/>
    <mergeCell ref="H25:H26"/>
    <mergeCell ref="I25:I26"/>
    <mergeCell ref="A19:A20"/>
    <mergeCell ref="B19:B20"/>
    <mergeCell ref="H19:H20"/>
    <mergeCell ref="B11:B12"/>
    <mergeCell ref="A11:A12"/>
    <mergeCell ref="B14:B15"/>
    <mergeCell ref="A14:A15"/>
    <mergeCell ref="H11:H12"/>
    <mergeCell ref="H14:H15"/>
    <mergeCell ref="D11:D12"/>
    <mergeCell ref="E11:E12"/>
    <mergeCell ref="B16:B17"/>
    <mergeCell ref="A16:A17"/>
    <mergeCell ref="H28:H29"/>
    <mergeCell ref="I28:I29"/>
    <mergeCell ref="A31:A32"/>
    <mergeCell ref="B31:B32"/>
    <mergeCell ref="H31:H32"/>
    <mergeCell ref="I31:I32"/>
    <mergeCell ref="A34:A35"/>
    <mergeCell ref="B34:B35"/>
    <mergeCell ref="H34:H35"/>
    <mergeCell ref="I34:I35"/>
    <mergeCell ref="D34:D35"/>
    <mergeCell ref="E34:E35"/>
    <mergeCell ref="J31:J32"/>
    <mergeCell ref="J3:J4"/>
    <mergeCell ref="J5:J6"/>
    <mergeCell ref="J8:J9"/>
    <mergeCell ref="J11:J12"/>
    <mergeCell ref="J14:J15"/>
    <mergeCell ref="J16:J17"/>
    <mergeCell ref="A37:A38"/>
    <mergeCell ref="B37:B38"/>
    <mergeCell ref="H37:H38"/>
    <mergeCell ref="J37:J38"/>
    <mergeCell ref="I37:I38"/>
    <mergeCell ref="I16:I17"/>
    <mergeCell ref="J34:J35"/>
    <mergeCell ref="F25:F26"/>
    <mergeCell ref="G25:G26"/>
    <mergeCell ref="F31:F32"/>
    <mergeCell ref="G31:G32"/>
    <mergeCell ref="J19:J20"/>
    <mergeCell ref="J22:J23"/>
    <mergeCell ref="J25:J26"/>
    <mergeCell ref="J28:J29"/>
    <mergeCell ref="A28:A29"/>
    <mergeCell ref="B28:B29"/>
    <mergeCell ref="A93:A94"/>
    <mergeCell ref="B93:B94"/>
    <mergeCell ref="D93:D94"/>
    <mergeCell ref="E93:E94"/>
    <mergeCell ref="H93:H94"/>
    <mergeCell ref="I93:I94"/>
    <mergeCell ref="J93:J94"/>
    <mergeCell ref="A87:A88"/>
    <mergeCell ref="B87:B88"/>
    <mergeCell ref="D87:D88"/>
    <mergeCell ref="E87:E88"/>
    <mergeCell ref="H87:H88"/>
    <mergeCell ref="I87:I88"/>
    <mergeCell ref="J87:J88"/>
    <mergeCell ref="A90:A91"/>
    <mergeCell ref="B90:B91"/>
    <mergeCell ref="D90:D91"/>
    <mergeCell ref="E90:E91"/>
    <mergeCell ref="H90:H91"/>
    <mergeCell ref="I90:I91"/>
    <mergeCell ref="J90:J91"/>
    <mergeCell ref="A111:A112"/>
    <mergeCell ref="B111:B112"/>
    <mergeCell ref="D111:D112"/>
    <mergeCell ref="E111:E112"/>
    <mergeCell ref="H111:H112"/>
    <mergeCell ref="I111:I112"/>
    <mergeCell ref="J111:J112"/>
    <mergeCell ref="A114:A115"/>
    <mergeCell ref="B114:B115"/>
    <mergeCell ref="D114:D115"/>
    <mergeCell ref="E114:E115"/>
    <mergeCell ref="H114:H115"/>
    <mergeCell ref="I114:I115"/>
    <mergeCell ref="J114:J115"/>
    <mergeCell ref="A117:A118"/>
    <mergeCell ref="B117:B118"/>
    <mergeCell ref="D117:D118"/>
    <mergeCell ref="E117:E118"/>
    <mergeCell ref="H117:H118"/>
    <mergeCell ref="I117:I118"/>
    <mergeCell ref="J117:J118"/>
    <mergeCell ref="A120:A121"/>
    <mergeCell ref="B120:B121"/>
    <mergeCell ref="D120:D121"/>
    <mergeCell ref="E120:E121"/>
    <mergeCell ref="H120:H121"/>
    <mergeCell ref="I120:I121"/>
    <mergeCell ref="J120:J121"/>
    <mergeCell ref="A123:A124"/>
    <mergeCell ref="B123:B124"/>
    <mergeCell ref="D123:D124"/>
    <mergeCell ref="E123:E124"/>
    <mergeCell ref="H123:H124"/>
    <mergeCell ref="I123:I124"/>
    <mergeCell ref="J123:J124"/>
    <mergeCell ref="A126:A127"/>
    <mergeCell ref="B126:B127"/>
    <mergeCell ref="D126:D127"/>
    <mergeCell ref="E126:E127"/>
    <mergeCell ref="H126:H127"/>
    <mergeCell ref="I126:I127"/>
    <mergeCell ref="J126:J127"/>
    <mergeCell ref="A129:A130"/>
    <mergeCell ref="B129:B130"/>
    <mergeCell ref="D129:D130"/>
    <mergeCell ref="E129:E130"/>
    <mergeCell ref="H129:H130"/>
    <mergeCell ref="I129:I130"/>
    <mergeCell ref="J129:J130"/>
    <mergeCell ref="A132:A133"/>
    <mergeCell ref="B132:B133"/>
    <mergeCell ref="D132:D133"/>
    <mergeCell ref="E132:E133"/>
    <mergeCell ref="H132:H133"/>
    <mergeCell ref="I132:I133"/>
    <mergeCell ref="J132:J133"/>
    <mergeCell ref="A135:A136"/>
    <mergeCell ref="B135:B136"/>
    <mergeCell ref="D135:D136"/>
    <mergeCell ref="E135:E136"/>
    <mergeCell ref="H135:H136"/>
    <mergeCell ref="I135:I136"/>
    <mergeCell ref="J135:J136"/>
    <mergeCell ref="A138:A139"/>
    <mergeCell ref="B138:B139"/>
    <mergeCell ref="D138:D139"/>
    <mergeCell ref="E138:E139"/>
    <mergeCell ref="H138:H139"/>
    <mergeCell ref="I138:I139"/>
    <mergeCell ref="J138:J139"/>
    <mergeCell ref="A141:A142"/>
    <mergeCell ref="B141:B142"/>
    <mergeCell ref="D141:D142"/>
    <mergeCell ref="E141:E142"/>
    <mergeCell ref="H141:H142"/>
    <mergeCell ref="I141:I142"/>
    <mergeCell ref="J141:J142"/>
    <mergeCell ref="A144:A145"/>
    <mergeCell ref="B144:B145"/>
    <mergeCell ref="D144:D145"/>
    <mergeCell ref="E144:E145"/>
    <mergeCell ref="H144:H145"/>
    <mergeCell ref="I144:I145"/>
    <mergeCell ref="J144:J145"/>
    <mergeCell ref="A159:A160"/>
    <mergeCell ref="B159:B160"/>
    <mergeCell ref="D159:D160"/>
    <mergeCell ref="E159:E160"/>
    <mergeCell ref="H159:H160"/>
    <mergeCell ref="I159:I160"/>
    <mergeCell ref="J159:J160"/>
    <mergeCell ref="A147:A148"/>
    <mergeCell ref="B147:B148"/>
    <mergeCell ref="D147:D148"/>
    <mergeCell ref="E147:E148"/>
    <mergeCell ref="H147:H148"/>
    <mergeCell ref="I147:I148"/>
    <mergeCell ref="J147:J148"/>
    <mergeCell ref="A156:A157"/>
    <mergeCell ref="B156:B157"/>
    <mergeCell ref="D156:D157"/>
    <mergeCell ref="E156:E157"/>
    <mergeCell ref="H156:H157"/>
    <mergeCell ref="I156:I157"/>
    <mergeCell ref="J156:J157"/>
    <mergeCell ref="A150:A151"/>
    <mergeCell ref="B150:B151"/>
    <mergeCell ref="D150:D151"/>
    <mergeCell ref="A233:A234"/>
    <mergeCell ref="B233:B234"/>
    <mergeCell ref="H233:H234"/>
    <mergeCell ref="I233:I234"/>
    <mergeCell ref="J233:J234"/>
    <mergeCell ref="A236:A237"/>
    <mergeCell ref="B236:B237"/>
    <mergeCell ref="H236:H237"/>
    <mergeCell ref="I236:I237"/>
    <mergeCell ref="J236:J237"/>
    <mergeCell ref="A239:A240"/>
    <mergeCell ref="B239:B240"/>
    <mergeCell ref="H239:H240"/>
    <mergeCell ref="I239:I240"/>
    <mergeCell ref="J239:J240"/>
    <mergeCell ref="A242:A243"/>
    <mergeCell ref="B242:B243"/>
    <mergeCell ref="H242:H243"/>
    <mergeCell ref="I242:I243"/>
    <mergeCell ref="J242:J243"/>
    <mergeCell ref="A245:A246"/>
    <mergeCell ref="B245:B246"/>
    <mergeCell ref="H245:H246"/>
    <mergeCell ref="I245:I246"/>
    <mergeCell ref="J245:J246"/>
    <mergeCell ref="A248:A249"/>
    <mergeCell ref="B248:B249"/>
    <mergeCell ref="H248:H249"/>
    <mergeCell ref="I248:I249"/>
    <mergeCell ref="J248:J249"/>
    <mergeCell ref="A251:A252"/>
    <mergeCell ref="B251:B252"/>
    <mergeCell ref="H251:H252"/>
    <mergeCell ref="I251:I252"/>
    <mergeCell ref="J251:J252"/>
    <mergeCell ref="A254:A255"/>
    <mergeCell ref="B254:B255"/>
    <mergeCell ref="H254:H255"/>
    <mergeCell ref="I254:I255"/>
    <mergeCell ref="J254:J255"/>
    <mergeCell ref="A257:A258"/>
    <mergeCell ref="B257:B258"/>
    <mergeCell ref="H257:H258"/>
    <mergeCell ref="I257:I258"/>
    <mergeCell ref="J257:J258"/>
    <mergeCell ref="A260:A261"/>
    <mergeCell ref="B260:B261"/>
    <mergeCell ref="H260:H261"/>
    <mergeCell ref="I260:I261"/>
    <mergeCell ref="J260:J261"/>
    <mergeCell ref="A269:A270"/>
    <mergeCell ref="B269:B270"/>
    <mergeCell ref="H269:H270"/>
    <mergeCell ref="I269:I270"/>
    <mergeCell ref="J269:J270"/>
    <mergeCell ref="A263:A264"/>
    <mergeCell ref="B263:B264"/>
    <mergeCell ref="H263:H264"/>
    <mergeCell ref="I263:I264"/>
    <mergeCell ref="J263:J264"/>
    <mergeCell ref="A266:A267"/>
    <mergeCell ref="B266:B267"/>
    <mergeCell ref="H266:H267"/>
    <mergeCell ref="I266:I267"/>
    <mergeCell ref="J266:J267"/>
    <mergeCell ref="H280:H281"/>
    <mergeCell ref="I280:I281"/>
    <mergeCell ref="J280:J281"/>
    <mergeCell ref="A283:A284"/>
    <mergeCell ref="B283:B284"/>
    <mergeCell ref="H283:H284"/>
    <mergeCell ref="I283:I284"/>
    <mergeCell ref="J283:J284"/>
    <mergeCell ref="A286:A287"/>
    <mergeCell ref="B286:B287"/>
    <mergeCell ref="H286:H287"/>
    <mergeCell ref="I286:I287"/>
    <mergeCell ref="J286:J287"/>
    <mergeCell ref="A289:A290"/>
    <mergeCell ref="B289:B290"/>
    <mergeCell ref="H289:H290"/>
    <mergeCell ref="I289:I290"/>
    <mergeCell ref="J289:J290"/>
    <mergeCell ref="A292:A293"/>
    <mergeCell ref="B292:B293"/>
    <mergeCell ref="H292:H293"/>
    <mergeCell ref="I292:I293"/>
    <mergeCell ref="J292:J293"/>
    <mergeCell ref="A295:A296"/>
    <mergeCell ref="B295:B296"/>
    <mergeCell ref="H295:H296"/>
    <mergeCell ref="I295:I296"/>
    <mergeCell ref="J295:J296"/>
    <mergeCell ref="A301:A302"/>
    <mergeCell ref="B301:B302"/>
    <mergeCell ref="H301:H302"/>
    <mergeCell ref="I301:I302"/>
    <mergeCell ref="J301:J302"/>
    <mergeCell ref="A298:A299"/>
    <mergeCell ref="B298:B299"/>
    <mergeCell ref="H298:H299"/>
    <mergeCell ref="I298:I299"/>
    <mergeCell ref="J298:J299"/>
    <mergeCell ref="A304:A305"/>
    <mergeCell ref="B304:B305"/>
    <mergeCell ref="H304:H305"/>
    <mergeCell ref="I304:I305"/>
    <mergeCell ref="J304:J305"/>
    <mergeCell ref="A307:A308"/>
    <mergeCell ref="B307:B308"/>
    <mergeCell ref="H307:H308"/>
    <mergeCell ref="I307:I308"/>
    <mergeCell ref="J307:J308"/>
    <mergeCell ref="A310:A311"/>
    <mergeCell ref="B310:B311"/>
    <mergeCell ref="H310:H311"/>
    <mergeCell ref="I310:I311"/>
    <mergeCell ref="J310:J311"/>
    <mergeCell ref="A313:A314"/>
    <mergeCell ref="B313:B314"/>
    <mergeCell ref="H313:H314"/>
    <mergeCell ref="I313:I314"/>
    <mergeCell ref="J313:J314"/>
    <mergeCell ref="A316:A317"/>
    <mergeCell ref="B316:B317"/>
    <mergeCell ref="H316:H317"/>
    <mergeCell ref="I316:I317"/>
    <mergeCell ref="J316:J317"/>
    <mergeCell ref="A319:A320"/>
    <mergeCell ref="B319:B320"/>
    <mergeCell ref="H319:H320"/>
    <mergeCell ref="I319:I320"/>
    <mergeCell ref="J319:J320"/>
    <mergeCell ref="A322:A323"/>
    <mergeCell ref="B322:B323"/>
    <mergeCell ref="H322:H323"/>
    <mergeCell ref="I322:I323"/>
    <mergeCell ref="J322:J323"/>
    <mergeCell ref="A325:A326"/>
    <mergeCell ref="B325:B326"/>
    <mergeCell ref="H325:H326"/>
    <mergeCell ref="I325:I326"/>
    <mergeCell ref="J325:J326"/>
    <mergeCell ref="A328:A329"/>
    <mergeCell ref="B328:B329"/>
    <mergeCell ref="H328:H329"/>
    <mergeCell ref="I328:I329"/>
    <mergeCell ref="J328:J329"/>
    <mergeCell ref="A331:A332"/>
    <mergeCell ref="B331:B332"/>
    <mergeCell ref="H331:H332"/>
    <mergeCell ref="I331:I332"/>
    <mergeCell ref="J331:J3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 sampling Ambon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User</cp:lastModifiedBy>
  <dcterms:created xsi:type="dcterms:W3CDTF">2019-11-01T03:48:06Z</dcterms:created>
  <dcterms:modified xsi:type="dcterms:W3CDTF">2021-01-19T07:15:21Z</dcterms:modified>
</cp:coreProperties>
</file>